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R:\Finantsteenistus\EELARVE OSAKOND\2022\Raamat\Võrdlustabelid\Vanad koondid\"/>
    </mc:Choice>
  </mc:AlternateContent>
  <xr:revisionPtr revIDLastSave="0" documentId="13_ncr:1_{F4192E1B-6965-4182-BE66-D1BB7ED1752E}" xr6:coauthVersionLast="45" xr6:coauthVersionMax="45" xr10:uidLastSave="{00000000-0000-0000-0000-000000000000}"/>
  <bookViews>
    <workbookView xWindow="-120" yWindow="-120" windowWidth="19440" windowHeight="15000" tabRatio="796" xr2:uid="{00000000-000D-0000-FFFF-FFFF00000000}"/>
  </bookViews>
  <sheets>
    <sheet name="1 KOONDEELARVE" sheetId="5" r:id="rId1"/>
    <sheet name="2 TULUDE KOOND" sheetId="6" r:id="rId2"/>
    <sheet name="2.1 LK TULUD" sheetId="7" r:id="rId3"/>
    <sheet name="Sheet2" sheetId="15" state="hidden" r:id="rId4"/>
    <sheet name="2.2 OMATULUD" sheetId="4" r:id="rId5"/>
    <sheet name="2.3 TOETUSED" sheetId="12" r:id="rId6"/>
    <sheet name="3 KULUD" sheetId="17" r:id="rId7"/>
    <sheet name="4 INVEST" sheetId="37" r:id="rId8"/>
    <sheet name="5 FIN.TEH" sheetId="11" r:id="rId9"/>
    <sheet name="6 RAHAKÄIVE" sheetId="10" r:id="rId10"/>
    <sheet name="7 LIIGENDUS" sheetId="13" r:id="rId11"/>
  </sheets>
  <externalReferences>
    <externalReference r:id="rId12"/>
    <externalReference r:id="rId13"/>
  </externalReferences>
  <definedNames>
    <definedName name="_xlnm._FilterDatabase" localSheetId="0" hidden="1">'1 KOONDEELARVE'!$A$6:$J$85</definedName>
    <definedName name="_xlnm._FilterDatabase" localSheetId="1" hidden="1">'2 TULUDE KOOND'!$A$5:$R$56</definedName>
    <definedName name="_xlnm._FilterDatabase" localSheetId="2" hidden="1">'2.1 LK TULUD'!$A$4:$J$93</definedName>
    <definedName name="_xlnm._FilterDatabase" localSheetId="4" hidden="1">'2.2 OMATULUD'!$A$3:$J$806</definedName>
    <definedName name="_xlnm._FilterDatabase" localSheetId="5" hidden="1">'2.3 TOETUSED'!$A$4:$J$138</definedName>
    <definedName name="_xlnm._FilterDatabase" localSheetId="6" hidden="1">'3 KULUD'!$C$3:$M$1941</definedName>
    <definedName name="a" localSheetId="7">'[1]8 KULUD'!#REF!</definedName>
    <definedName name="a">'[1]8 KULUD'!#REF!</definedName>
    <definedName name="ea" localSheetId="7">OFFSET(job_levels_range,0,0,COUNTA(job_levels_range),1)</definedName>
    <definedName name="ea">OFFSET(job_levels_range,0,0,COUNTA(job_levels_range),1)</definedName>
    <definedName name="eaa" localSheetId="7">OFFSET(job_levels_range,0,0,COUNTA(job_levels_range),1)</definedName>
    <definedName name="eaa">OFFSET(job_levels_range,0,0,COUNTA(job_levels_range),1)</definedName>
    <definedName name="ee" localSheetId="7">OFFSET(job_levels_range,0,0,COUNTA(job_levels_range),1)</definedName>
    <definedName name="ee">OFFSET(job_levels_range,0,0,COUNTA(job_levels_range),1)</definedName>
    <definedName name="gg" localSheetId="7">OFFSET(job_names_range,0,0,COUNTA(job_names_range),1)</definedName>
    <definedName name="gg">OFFSET(job_names_range,0,0,COUNTA(job_names_range),1)</definedName>
    <definedName name="job_levels" localSheetId="7">OFFSET(job_levels_range,0,0,COUNTA(job_levels_range),1)</definedName>
    <definedName name="job_levels">OFFSET(job_levels_range,0,0,COUNTA(job_levels_range),1)</definedName>
    <definedName name="job_names" localSheetId="7">OFFSET(job_names_range,0,0,COUNTA(job_names_range),1)</definedName>
    <definedName name="job_names">OFFSET(job_names_range,0,0,COUNTA(job_names_range),1)</definedName>
    <definedName name="joblevels">'[2]Job Names'!$H$9:$H$35</definedName>
    <definedName name="jobnames">#N/A</definedName>
    <definedName name="language_list">'[2]Job Names'!$E$2:$E$5</definedName>
    <definedName name="Maalist">[2]Maakonnad!$A$1:$A$15</definedName>
    <definedName name="nm" localSheetId="7">OFFSET(job_names_range,0,0,COUNTA(job_names_range),1)</definedName>
    <definedName name="nm">OFFSET(job_names_range,0,0,COUNTA(job_names_range),1)</definedName>
    <definedName name="nn" localSheetId="7">OFFSET(job_names_range,0,0,COUNTA(job_names_range),1)</definedName>
    <definedName name="nn">OFFSET(job_names_range,0,0,COUNTA(job_names_range),1)</definedName>
    <definedName name="ppp" localSheetId="7">OFFSET(job_levels_range,0,0,COUNTA(job_levels_range),1)</definedName>
    <definedName name="ppp">OFFSET(job_levels_range,0,0,COUNTA(job_levels_range),1)</definedName>
    <definedName name="_xlnm.Print_Titles" localSheetId="0">'1 KOONDEELARVE'!$3:$4</definedName>
    <definedName name="_xlnm.Print_Titles" localSheetId="1">'2 TULUDE KOOND'!$5:$5</definedName>
    <definedName name="zJob">'[2]Job Families'!$D$1:$D$481</definedName>
    <definedName name="zLev">'[2]Job Families'!$E$1:$E$481</definedName>
    <definedName name="zPnt">'[2]Job Families'!$F$1:$F$481</definedName>
    <definedName name="zPntH">'[2]Job Families'!$H$1:$H$481</definedName>
    <definedName name="zPntL">'[2]Job Families'!$G$1:$G$481</definedName>
    <definedName name="test" localSheetId="7">OFFSET(job_levels_range,0,0,COUNTA(job_levels_range),1)</definedName>
    <definedName name="test">OFFSET(job_levels_range,0,0,COUNTA(job_levels_range),1)</definedName>
    <definedName name="test1" localSheetId="7">OFFSET(job_levels_range,0,0,COUNTA(job_levels_range),1)</definedName>
    <definedName name="test1">OFFSET(job_levels_range,0,0,COUNTA(job_levels_range),1)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37" l="1"/>
  <c r="K6" i="37"/>
  <c r="K7" i="37"/>
  <c r="K8" i="37"/>
  <c r="K9" i="37"/>
  <c r="K10" i="37"/>
  <c r="K11" i="37"/>
  <c r="K12" i="37"/>
  <c r="K13" i="37"/>
  <c r="K14" i="37"/>
  <c r="K15" i="37"/>
  <c r="K16" i="37"/>
  <c r="K17" i="37"/>
  <c r="K4" i="37"/>
  <c r="N1779" i="17"/>
  <c r="N1780" i="17"/>
  <c r="N1781" i="17"/>
  <c r="N1782" i="17"/>
  <c r="N1783" i="17"/>
  <c r="N1784" i="17"/>
  <c r="N1785" i="17"/>
  <c r="N1786" i="17"/>
  <c r="N1787" i="17"/>
  <c r="N1788" i="17"/>
  <c r="N1789" i="17"/>
  <c r="N1790" i="17"/>
  <c r="N1791" i="17"/>
  <c r="N1792" i="17"/>
  <c r="N1793" i="17"/>
  <c r="N1794" i="17"/>
  <c r="N1795" i="17"/>
  <c r="N1796" i="17"/>
  <c r="N1797" i="17"/>
  <c r="N1798" i="17"/>
  <c r="N1799" i="17"/>
  <c r="N1800" i="17"/>
  <c r="N1801" i="17"/>
  <c r="N1802" i="17"/>
  <c r="N1803" i="17"/>
  <c r="N1804" i="17"/>
  <c r="N1805" i="17"/>
  <c r="N1806" i="17"/>
  <c r="N1807" i="17"/>
  <c r="N1778" i="17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7" i="6"/>
  <c r="G17" i="37" l="1"/>
  <c r="H17" i="37" s="1"/>
  <c r="E17" i="37"/>
  <c r="I17" i="37" s="1"/>
  <c r="J17" i="37" s="1"/>
  <c r="G16" i="37"/>
  <c r="H16" i="37" s="1"/>
  <c r="I16" i="37"/>
  <c r="J16" i="37" s="1"/>
  <c r="E16" i="37"/>
  <c r="G15" i="37"/>
  <c r="H15" i="37" s="1"/>
  <c r="E15" i="37"/>
  <c r="I15" i="37" s="1"/>
  <c r="J15" i="37" s="1"/>
  <c r="G14" i="37"/>
  <c r="H14" i="37" s="1"/>
  <c r="E14" i="37"/>
  <c r="I14" i="37" s="1"/>
  <c r="J14" i="37" s="1"/>
  <c r="G13" i="37"/>
  <c r="H13" i="37" s="1"/>
  <c r="E13" i="37"/>
  <c r="I13" i="37" s="1"/>
  <c r="J13" i="37" s="1"/>
  <c r="G12" i="37"/>
  <c r="H12" i="37" s="1"/>
  <c r="E12" i="37"/>
  <c r="I12" i="37" s="1"/>
  <c r="J12" i="37" s="1"/>
  <c r="G11" i="37"/>
  <c r="H11" i="37" s="1"/>
  <c r="E11" i="37"/>
  <c r="I11" i="37" s="1"/>
  <c r="J11" i="37" s="1"/>
  <c r="G10" i="37"/>
  <c r="H10" i="37" s="1"/>
  <c r="E10" i="37"/>
  <c r="I10" i="37" s="1"/>
  <c r="J10" i="37" s="1"/>
  <c r="G9" i="37"/>
  <c r="H9" i="37" s="1"/>
  <c r="E9" i="37"/>
  <c r="I9" i="37" s="1"/>
  <c r="J9" i="37" s="1"/>
  <c r="B8" i="37"/>
  <c r="E8" i="37" s="1"/>
  <c r="I8" i="37" s="1"/>
  <c r="J8" i="37" s="1"/>
  <c r="G7" i="37"/>
  <c r="H7" i="37" s="1"/>
  <c r="E7" i="37"/>
  <c r="I7" i="37" s="1"/>
  <c r="J7" i="37" s="1"/>
  <c r="G6" i="37"/>
  <c r="H6" i="37" s="1"/>
  <c r="E6" i="37"/>
  <c r="I6" i="37" s="1"/>
  <c r="J6" i="37" s="1"/>
  <c r="G5" i="37"/>
  <c r="H5" i="37" s="1"/>
  <c r="E5" i="37"/>
  <c r="I5" i="37" s="1"/>
  <c r="J5" i="37" s="1"/>
  <c r="D4" i="37"/>
  <c r="E4" i="37" s="1"/>
  <c r="F4" i="37"/>
  <c r="G8" i="37" l="1"/>
  <c r="H8" i="37" s="1"/>
  <c r="I4" i="37"/>
  <c r="J4" i="37" s="1"/>
  <c r="G4" i="37"/>
  <c r="H4" i="37" s="1"/>
  <c r="L544" i="17" l="1"/>
  <c r="J544" i="17"/>
  <c r="I714" i="17"/>
  <c r="E1839" i="17" l="1"/>
  <c r="F1839" i="17"/>
  <c r="G1839" i="17"/>
  <c r="I1839" i="17"/>
  <c r="D1839" i="17"/>
  <c r="J376" i="17"/>
  <c r="K376" i="17" s="1"/>
  <c r="L376" i="17"/>
  <c r="M376" i="17" s="1"/>
  <c r="J377" i="17"/>
  <c r="K377" i="17" s="1"/>
  <c r="L377" i="17"/>
  <c r="M377" i="17" s="1"/>
  <c r="J1839" i="17" l="1"/>
  <c r="E1874" i="17" l="1"/>
  <c r="F1874" i="17"/>
  <c r="G1874" i="17"/>
  <c r="D1874" i="17"/>
  <c r="G810" i="17"/>
  <c r="H363" i="17"/>
  <c r="E18" i="10" l="1"/>
  <c r="E6" i="10"/>
  <c r="F6" i="10"/>
  <c r="G6" i="10"/>
  <c r="H6" i="10"/>
  <c r="E7" i="10"/>
  <c r="F7" i="10"/>
  <c r="G7" i="10"/>
  <c r="H7" i="10"/>
  <c r="E8" i="10"/>
  <c r="F8" i="10"/>
  <c r="G8" i="10"/>
  <c r="H8" i="10"/>
  <c r="E9" i="10"/>
  <c r="F9" i="10"/>
  <c r="G9" i="10"/>
  <c r="H9" i="10"/>
  <c r="E10" i="10"/>
  <c r="F10" i="10"/>
  <c r="G10" i="10"/>
  <c r="H10" i="10"/>
  <c r="E11" i="10"/>
  <c r="F11" i="10"/>
  <c r="G11" i="10"/>
  <c r="H11" i="10"/>
  <c r="E12" i="10"/>
  <c r="F12" i="10"/>
  <c r="G12" i="10"/>
  <c r="H12" i="10"/>
  <c r="E13" i="10"/>
  <c r="F13" i="10"/>
  <c r="G13" i="10"/>
  <c r="H13" i="10"/>
  <c r="E14" i="10"/>
  <c r="F14" i="10"/>
  <c r="G14" i="10"/>
  <c r="H14" i="10"/>
  <c r="E15" i="10"/>
  <c r="F15" i="10"/>
  <c r="G15" i="10"/>
  <c r="H15" i="10"/>
  <c r="E16" i="10"/>
  <c r="G16" i="10"/>
  <c r="E17" i="10"/>
  <c r="F17" i="10"/>
  <c r="G17" i="10"/>
  <c r="H17" i="10"/>
  <c r="F18" i="10"/>
  <c r="G18" i="10"/>
  <c r="H18" i="10"/>
  <c r="E19" i="10"/>
  <c r="F19" i="10"/>
  <c r="G19" i="10"/>
  <c r="H19" i="10"/>
  <c r="E20" i="10"/>
  <c r="F20" i="10"/>
  <c r="G20" i="10"/>
  <c r="H20" i="10"/>
  <c r="E22" i="10"/>
  <c r="F22" i="10"/>
  <c r="G22" i="10"/>
  <c r="H22" i="10"/>
  <c r="E23" i="10"/>
  <c r="F23" i="10"/>
  <c r="G23" i="10"/>
  <c r="H23" i="10"/>
  <c r="E24" i="10"/>
  <c r="F24" i="10"/>
  <c r="G24" i="10"/>
  <c r="H24" i="10"/>
  <c r="E25" i="10"/>
  <c r="F25" i="10"/>
  <c r="G25" i="10"/>
  <c r="H25" i="10"/>
  <c r="E26" i="10"/>
  <c r="F26" i="10"/>
  <c r="G26" i="10"/>
  <c r="H26" i="10"/>
  <c r="E27" i="10"/>
  <c r="F27" i="10"/>
  <c r="G27" i="10"/>
  <c r="H27" i="10"/>
  <c r="E28" i="10"/>
  <c r="G28" i="10"/>
  <c r="H28" i="10"/>
  <c r="E29" i="10"/>
  <c r="F29" i="10"/>
  <c r="G29" i="10"/>
  <c r="H29" i="10"/>
  <c r="E31" i="10"/>
  <c r="F31" i="10"/>
  <c r="G31" i="10"/>
  <c r="H31" i="10"/>
  <c r="E32" i="10"/>
  <c r="F32" i="10"/>
  <c r="G32" i="10"/>
  <c r="H32" i="10"/>
  <c r="E33" i="10"/>
  <c r="F33" i="10"/>
  <c r="G33" i="10"/>
  <c r="H33" i="10"/>
  <c r="E34" i="10"/>
  <c r="F34" i="10"/>
  <c r="G34" i="10"/>
  <c r="H34" i="10"/>
  <c r="E35" i="10"/>
  <c r="F35" i="10"/>
  <c r="G35" i="10"/>
  <c r="H35" i="10"/>
  <c r="E36" i="10"/>
  <c r="F36" i="10"/>
  <c r="G36" i="10"/>
  <c r="H36" i="10"/>
  <c r="E37" i="10"/>
  <c r="G37" i="10"/>
  <c r="H37" i="10"/>
  <c r="E38" i="10"/>
  <c r="F38" i="10"/>
  <c r="G38" i="10"/>
  <c r="H38" i="10"/>
  <c r="E40" i="10"/>
  <c r="F40" i="10"/>
  <c r="G40" i="10"/>
  <c r="H40" i="10"/>
  <c r="E41" i="10"/>
  <c r="F41" i="10"/>
  <c r="G41" i="10"/>
  <c r="H41" i="10"/>
  <c r="H5" i="10"/>
  <c r="F5" i="10"/>
  <c r="G5" i="10"/>
  <c r="E5" i="10"/>
  <c r="G6" i="11" l="1"/>
  <c r="H6" i="11"/>
  <c r="I6" i="11"/>
  <c r="J6" i="11"/>
  <c r="G7" i="11"/>
  <c r="I7" i="11"/>
  <c r="J7" i="11"/>
  <c r="G8" i="11"/>
  <c r="H8" i="11"/>
  <c r="I8" i="11"/>
  <c r="J8" i="11"/>
  <c r="G9" i="11"/>
  <c r="H9" i="11"/>
  <c r="I9" i="11"/>
  <c r="J9" i="11"/>
  <c r="G10" i="11"/>
  <c r="I10" i="11"/>
  <c r="J10" i="11"/>
  <c r="G11" i="11"/>
  <c r="I11" i="11"/>
  <c r="J11" i="11"/>
  <c r="G12" i="11"/>
  <c r="I12" i="11"/>
  <c r="J12" i="11"/>
  <c r="G13" i="11"/>
  <c r="I13" i="11"/>
  <c r="J13" i="11"/>
  <c r="G14" i="11"/>
  <c r="H14" i="11"/>
  <c r="I14" i="11"/>
  <c r="J14" i="11"/>
  <c r="G15" i="11"/>
  <c r="H15" i="11"/>
  <c r="I15" i="11"/>
  <c r="J15" i="11"/>
  <c r="G16" i="11"/>
  <c r="I16" i="11"/>
  <c r="J16" i="11"/>
  <c r="G17" i="11"/>
  <c r="H17" i="11"/>
  <c r="I17" i="11"/>
  <c r="J17" i="11"/>
  <c r="G18" i="11"/>
  <c r="I18" i="11"/>
  <c r="J18" i="11"/>
  <c r="G19" i="11"/>
  <c r="H19" i="11"/>
  <c r="I19" i="11"/>
  <c r="J19" i="11"/>
  <c r="G20" i="11"/>
  <c r="H20" i="11"/>
  <c r="I20" i="11"/>
  <c r="J20" i="11"/>
  <c r="J5" i="11"/>
  <c r="I5" i="11"/>
  <c r="H5" i="11"/>
  <c r="G5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D14" i="11"/>
  <c r="J8" i="17" l="1"/>
  <c r="K8" i="17" s="1"/>
  <c r="J13" i="17"/>
  <c r="J16" i="17"/>
  <c r="K16" i="17" s="1"/>
  <c r="J17" i="17"/>
  <c r="J18" i="17"/>
  <c r="K18" i="17" s="1"/>
  <c r="J19" i="17"/>
  <c r="K19" i="17" s="1"/>
  <c r="J20" i="17"/>
  <c r="J21" i="17"/>
  <c r="K21" i="17" s="1"/>
  <c r="J22" i="17"/>
  <c r="K22" i="17" s="1"/>
  <c r="J23" i="17"/>
  <c r="J24" i="17"/>
  <c r="J25" i="17"/>
  <c r="J26" i="17"/>
  <c r="J28" i="17"/>
  <c r="K28" i="17" s="1"/>
  <c r="J33" i="17"/>
  <c r="J34" i="17"/>
  <c r="K34" i="17" s="1"/>
  <c r="J35" i="17"/>
  <c r="K35" i="17" s="1"/>
  <c r="J36" i="17"/>
  <c r="J37" i="17"/>
  <c r="K37" i="17" s="1"/>
  <c r="J38" i="17"/>
  <c r="K38" i="17" s="1"/>
  <c r="J39" i="17"/>
  <c r="J41" i="17"/>
  <c r="J42" i="17"/>
  <c r="K42" i="17" s="1"/>
  <c r="J43" i="17"/>
  <c r="J44" i="17"/>
  <c r="K44" i="17" s="1"/>
  <c r="J45" i="17"/>
  <c r="K45" i="17" s="1"/>
  <c r="J46" i="17"/>
  <c r="J47" i="17"/>
  <c r="K47" i="17" s="1"/>
  <c r="J48" i="17"/>
  <c r="K48" i="17" s="1"/>
  <c r="J49" i="17"/>
  <c r="J50" i="17"/>
  <c r="K50" i="17" s="1"/>
  <c r="J51" i="17"/>
  <c r="K51" i="17" s="1"/>
  <c r="J52" i="17"/>
  <c r="J53" i="17"/>
  <c r="K53" i="17" s="1"/>
  <c r="J54" i="17"/>
  <c r="K54" i="17" s="1"/>
  <c r="J55" i="17"/>
  <c r="J56" i="17"/>
  <c r="K56" i="17" s="1"/>
  <c r="J57" i="17"/>
  <c r="K57" i="17" s="1"/>
  <c r="J58" i="17"/>
  <c r="J59" i="17"/>
  <c r="K59" i="17" s="1"/>
  <c r="J60" i="17"/>
  <c r="K60" i="17" s="1"/>
  <c r="J61" i="17"/>
  <c r="J63" i="17"/>
  <c r="J64" i="17"/>
  <c r="K64" i="17" s="1"/>
  <c r="J65" i="17"/>
  <c r="K65" i="17" s="1"/>
  <c r="J66" i="17"/>
  <c r="J67" i="17"/>
  <c r="K67" i="17" s="1"/>
  <c r="J68" i="17"/>
  <c r="K68" i="17" s="1"/>
  <c r="J69" i="17"/>
  <c r="J70" i="17"/>
  <c r="J71" i="17"/>
  <c r="J72" i="17"/>
  <c r="J73" i="17"/>
  <c r="J74" i="17"/>
  <c r="J76" i="17"/>
  <c r="K76" i="17" s="1"/>
  <c r="J78" i="17"/>
  <c r="K78" i="17" s="1"/>
  <c r="J79" i="17"/>
  <c r="K79" i="17" s="1"/>
  <c r="J82" i="17"/>
  <c r="J84" i="17"/>
  <c r="K84" i="17" s="1"/>
  <c r="J85" i="17"/>
  <c r="J86" i="17"/>
  <c r="K86" i="17" s="1"/>
  <c r="J87" i="17"/>
  <c r="J88" i="17"/>
  <c r="K88" i="17" s="1"/>
  <c r="J89" i="17"/>
  <c r="K89" i="17" s="1"/>
  <c r="J90" i="17"/>
  <c r="K90" i="17" s="1"/>
  <c r="J92" i="17"/>
  <c r="J93" i="17"/>
  <c r="J94" i="17"/>
  <c r="J95" i="17"/>
  <c r="J97" i="17"/>
  <c r="J99" i="17"/>
  <c r="K99" i="17" s="1"/>
  <c r="J100" i="17"/>
  <c r="K100" i="17" s="1"/>
  <c r="J101" i="17"/>
  <c r="K101" i="17" s="1"/>
  <c r="J102" i="17"/>
  <c r="J103" i="17"/>
  <c r="K103" i="17" s="1"/>
  <c r="J104" i="17"/>
  <c r="J105" i="17"/>
  <c r="J106" i="17"/>
  <c r="J107" i="17"/>
  <c r="J108" i="17"/>
  <c r="J110" i="17"/>
  <c r="K110" i="17" s="1"/>
  <c r="J111" i="17"/>
  <c r="K111" i="17" s="1"/>
  <c r="J112" i="17"/>
  <c r="K112" i="17" s="1"/>
  <c r="J113" i="17"/>
  <c r="J114" i="17"/>
  <c r="J115" i="17"/>
  <c r="J117" i="17"/>
  <c r="K117" i="17" s="1"/>
  <c r="J118" i="17"/>
  <c r="J119" i="17"/>
  <c r="K119" i="17" s="1"/>
  <c r="J120" i="17"/>
  <c r="J122" i="17"/>
  <c r="K122" i="17" s="1"/>
  <c r="J123" i="17"/>
  <c r="J124" i="17"/>
  <c r="K124" i="17" s="1"/>
  <c r="J125" i="17"/>
  <c r="J126" i="17"/>
  <c r="K126" i="17" s="1"/>
  <c r="J127" i="17"/>
  <c r="K127" i="17" s="1"/>
  <c r="J128" i="17"/>
  <c r="J129" i="17"/>
  <c r="K129" i="17" s="1"/>
  <c r="J130" i="17"/>
  <c r="J131" i="17"/>
  <c r="K131" i="17" s="1"/>
  <c r="J132" i="17"/>
  <c r="K132" i="17" s="1"/>
  <c r="J133" i="17"/>
  <c r="J134" i="17"/>
  <c r="K134" i="17" s="1"/>
  <c r="J135" i="17"/>
  <c r="J136" i="17"/>
  <c r="K136" i="17" s="1"/>
  <c r="J137" i="17"/>
  <c r="K137" i="17" s="1"/>
  <c r="J138" i="17"/>
  <c r="J139" i="17"/>
  <c r="K139" i="17" s="1"/>
  <c r="J140" i="17"/>
  <c r="J141" i="17"/>
  <c r="K141" i="17" s="1"/>
  <c r="J142" i="17"/>
  <c r="K142" i="17" s="1"/>
  <c r="J143" i="17"/>
  <c r="J144" i="17"/>
  <c r="K144" i="17" s="1"/>
  <c r="J145" i="17"/>
  <c r="J146" i="17"/>
  <c r="K146" i="17" s="1"/>
  <c r="J147" i="17"/>
  <c r="K147" i="17" s="1"/>
  <c r="J148" i="17"/>
  <c r="J149" i="17"/>
  <c r="K149" i="17" s="1"/>
  <c r="J150" i="17"/>
  <c r="J151" i="17"/>
  <c r="K151" i="17" s="1"/>
  <c r="J152" i="17"/>
  <c r="K152" i="17" s="1"/>
  <c r="J153" i="17"/>
  <c r="J154" i="17"/>
  <c r="K154" i="17" s="1"/>
  <c r="J155" i="17"/>
  <c r="J156" i="17"/>
  <c r="J157" i="17"/>
  <c r="J158" i="17"/>
  <c r="J159" i="17"/>
  <c r="J160" i="17"/>
  <c r="J161" i="17"/>
  <c r="J162" i="17"/>
  <c r="J163" i="17"/>
  <c r="J164" i="17"/>
  <c r="J165" i="17"/>
  <c r="J166" i="17"/>
  <c r="J167" i="17"/>
  <c r="J168" i="17"/>
  <c r="J169" i="17"/>
  <c r="J170" i="17"/>
  <c r="L170" i="17"/>
  <c r="J171" i="17"/>
  <c r="L171" i="17"/>
  <c r="J172" i="17"/>
  <c r="L172" i="17"/>
  <c r="J173" i="17"/>
  <c r="L173" i="17"/>
  <c r="J174" i="17"/>
  <c r="J178" i="17"/>
  <c r="J179" i="17"/>
  <c r="K179" i="17" s="1"/>
  <c r="J181" i="17"/>
  <c r="J182" i="17"/>
  <c r="J183" i="17"/>
  <c r="J184" i="17"/>
  <c r="K184" i="17" s="1"/>
  <c r="J187" i="17"/>
  <c r="J188" i="17"/>
  <c r="J189" i="17"/>
  <c r="J191" i="17"/>
  <c r="J194" i="17"/>
  <c r="J195" i="17"/>
  <c r="J196" i="17"/>
  <c r="J197" i="17"/>
  <c r="J198" i="17"/>
  <c r="J199" i="17"/>
  <c r="K199" i="17" s="1"/>
  <c r="J200" i="17"/>
  <c r="K200" i="17" s="1"/>
  <c r="J201" i="17"/>
  <c r="J202" i="17"/>
  <c r="J205" i="17"/>
  <c r="J206" i="17"/>
  <c r="J207" i="17"/>
  <c r="J208" i="17"/>
  <c r="J209" i="17"/>
  <c r="J211" i="17"/>
  <c r="J212" i="17"/>
  <c r="J213" i="17"/>
  <c r="K213" i="17" s="1"/>
  <c r="J214" i="17"/>
  <c r="K214" i="17" s="1"/>
  <c r="J215" i="17"/>
  <c r="J216" i="17"/>
  <c r="J217" i="17"/>
  <c r="J218" i="17"/>
  <c r="J219" i="17"/>
  <c r="J220" i="17"/>
  <c r="K220" i="17" s="1"/>
  <c r="J221" i="17"/>
  <c r="J222" i="17"/>
  <c r="J223" i="17"/>
  <c r="K223" i="17" s="1"/>
  <c r="J224" i="17"/>
  <c r="J227" i="17"/>
  <c r="J228" i="17"/>
  <c r="K228" i="17" s="1"/>
  <c r="J229" i="17"/>
  <c r="K229" i="17" s="1"/>
  <c r="J230" i="17"/>
  <c r="J232" i="17"/>
  <c r="J234" i="17"/>
  <c r="K234" i="17" s="1"/>
  <c r="J235" i="17"/>
  <c r="K235" i="17" s="1"/>
  <c r="J236" i="17"/>
  <c r="K236" i="17" s="1"/>
  <c r="J237" i="17"/>
  <c r="K237" i="17" s="1"/>
  <c r="J238" i="17"/>
  <c r="J247" i="17"/>
  <c r="K247" i="17" s="1"/>
  <c r="J248" i="17"/>
  <c r="K248" i="17" s="1"/>
  <c r="J249" i="17"/>
  <c r="K249" i="17" s="1"/>
  <c r="J240" i="17"/>
  <c r="K240" i="17" s="1"/>
  <c r="J245" i="17"/>
  <c r="K245" i="17" s="1"/>
  <c r="J250" i="17"/>
  <c r="K250" i="17" s="1"/>
  <c r="J252" i="17"/>
  <c r="J251" i="17"/>
  <c r="J244" i="17"/>
  <c r="J246" i="17"/>
  <c r="K246" i="17" s="1"/>
  <c r="J253" i="17"/>
  <c r="J254" i="17"/>
  <c r="K254" i="17" s="1"/>
  <c r="J255" i="17"/>
  <c r="J256" i="17"/>
  <c r="K256" i="17" s="1"/>
  <c r="J257" i="17"/>
  <c r="L257" i="17"/>
  <c r="J258" i="17"/>
  <c r="L258" i="17"/>
  <c r="J259" i="17"/>
  <c r="J260" i="17"/>
  <c r="K260" i="17" s="1"/>
  <c r="J261" i="17"/>
  <c r="J262" i="17"/>
  <c r="K262" i="17" s="1"/>
  <c r="J263" i="17"/>
  <c r="K263" i="17" s="1"/>
  <c r="J264" i="17"/>
  <c r="J265" i="17"/>
  <c r="K265" i="17" s="1"/>
  <c r="J266" i="17"/>
  <c r="J270" i="17"/>
  <c r="J272" i="17"/>
  <c r="K272" i="17" s="1"/>
  <c r="J273" i="17"/>
  <c r="J277" i="17"/>
  <c r="J278" i="17"/>
  <c r="K278" i="17" s="1"/>
  <c r="J279" i="17"/>
  <c r="K279" i="17" s="1"/>
  <c r="J280" i="17"/>
  <c r="J281" i="17"/>
  <c r="J283" i="17"/>
  <c r="K283" i="17" s="1"/>
  <c r="J284" i="17"/>
  <c r="J285" i="17"/>
  <c r="J287" i="17"/>
  <c r="J288" i="17"/>
  <c r="J290" i="17"/>
  <c r="J291" i="17"/>
  <c r="J292" i="17"/>
  <c r="J293" i="17"/>
  <c r="J294" i="17"/>
  <c r="J295" i="17"/>
  <c r="J296" i="17"/>
  <c r="J298" i="17"/>
  <c r="K298" i="17" s="1"/>
  <c r="J301" i="17"/>
  <c r="K301" i="17" s="1"/>
  <c r="J304" i="17"/>
  <c r="J305" i="17"/>
  <c r="K305" i="17" s="1"/>
  <c r="J306" i="17"/>
  <c r="K306" i="17" s="1"/>
  <c r="J307" i="17"/>
  <c r="J309" i="17"/>
  <c r="J310" i="17"/>
  <c r="K310" i="17" s="1"/>
  <c r="J311" i="17"/>
  <c r="J312" i="17"/>
  <c r="J313" i="17"/>
  <c r="J314" i="17"/>
  <c r="J316" i="17"/>
  <c r="K316" i="17" s="1"/>
  <c r="J319" i="17"/>
  <c r="K319" i="17" s="1"/>
  <c r="J320" i="17"/>
  <c r="K320" i="17" s="1"/>
  <c r="J321" i="17"/>
  <c r="K321" i="17" s="1"/>
  <c r="J324" i="17"/>
  <c r="J326" i="17"/>
  <c r="K326" i="17" s="1"/>
  <c r="J327" i="17"/>
  <c r="K327" i="17" s="1"/>
  <c r="J328" i="17"/>
  <c r="K328" i="17" s="1"/>
  <c r="J329" i="17"/>
  <c r="K329" i="17" s="1"/>
  <c r="J330" i="17"/>
  <c r="J331" i="17"/>
  <c r="K331" i="17" s="1"/>
  <c r="J332" i="17"/>
  <c r="J335" i="17"/>
  <c r="K335" i="17" s="1"/>
  <c r="J336" i="17"/>
  <c r="J338" i="17"/>
  <c r="J339" i="17"/>
  <c r="J340" i="17"/>
  <c r="J341" i="17"/>
  <c r="K341" i="17" s="1"/>
  <c r="J342" i="17"/>
  <c r="K342" i="17" s="1"/>
  <c r="J343" i="17"/>
  <c r="J344" i="17"/>
  <c r="J345" i="17"/>
  <c r="J346" i="17"/>
  <c r="K346" i="17" s="1"/>
  <c r="J347" i="17"/>
  <c r="K347" i="17" s="1"/>
  <c r="J348" i="17"/>
  <c r="K348" i="17" s="1"/>
  <c r="J349" i="17"/>
  <c r="K349" i="17" s="1"/>
  <c r="J350" i="17"/>
  <c r="J353" i="17"/>
  <c r="J354" i="17"/>
  <c r="J355" i="17"/>
  <c r="K355" i="17" s="1"/>
  <c r="J356" i="17"/>
  <c r="K356" i="17" s="1"/>
  <c r="J357" i="17"/>
  <c r="J358" i="17"/>
  <c r="J359" i="17"/>
  <c r="K359" i="17" s="1"/>
  <c r="J360" i="17"/>
  <c r="K360" i="17" s="1"/>
  <c r="J361" i="17"/>
  <c r="J363" i="17"/>
  <c r="J367" i="17"/>
  <c r="J368" i="17"/>
  <c r="J371" i="17"/>
  <c r="J373" i="17"/>
  <c r="J378" i="17"/>
  <c r="J379" i="17"/>
  <c r="K379" i="17" s="1"/>
  <c r="J381" i="17"/>
  <c r="K381" i="17" s="1"/>
  <c r="J382" i="17"/>
  <c r="J383" i="17"/>
  <c r="J384" i="17"/>
  <c r="K384" i="17" s="1"/>
  <c r="J385" i="17"/>
  <c r="J386" i="17"/>
  <c r="K386" i="17" s="1"/>
  <c r="J387" i="17"/>
  <c r="J388" i="17"/>
  <c r="J390" i="17"/>
  <c r="K390" i="17" s="1"/>
  <c r="J391" i="17"/>
  <c r="K391" i="17" s="1"/>
  <c r="J392" i="17"/>
  <c r="K392" i="17" s="1"/>
  <c r="J393" i="17"/>
  <c r="K393" i="17" s="1"/>
  <c r="J394" i="17"/>
  <c r="K394" i="17" s="1"/>
  <c r="J395" i="17"/>
  <c r="K395" i="17" s="1"/>
  <c r="J396" i="17"/>
  <c r="K396" i="17" s="1"/>
  <c r="J397" i="17"/>
  <c r="K397" i="17" s="1"/>
  <c r="J398" i="17"/>
  <c r="K398" i="17" s="1"/>
  <c r="J399" i="17"/>
  <c r="K399" i="17" s="1"/>
  <c r="J400" i="17"/>
  <c r="K400" i="17" s="1"/>
  <c r="J401" i="17"/>
  <c r="J402" i="17"/>
  <c r="K402" i="17" s="1"/>
  <c r="J403" i="17"/>
  <c r="K403" i="17" s="1"/>
  <c r="J404" i="17"/>
  <c r="J405" i="17"/>
  <c r="J406" i="17"/>
  <c r="J407" i="17"/>
  <c r="J408" i="17"/>
  <c r="J414" i="17"/>
  <c r="J415" i="17"/>
  <c r="K415" i="17" s="1"/>
  <c r="J416" i="17"/>
  <c r="J417" i="17"/>
  <c r="K417" i="17" s="1"/>
  <c r="J418" i="17"/>
  <c r="J410" i="17"/>
  <c r="J411" i="17"/>
  <c r="J412" i="17"/>
  <c r="J413" i="17"/>
  <c r="J419" i="17"/>
  <c r="J420" i="17"/>
  <c r="K420" i="17" s="1"/>
  <c r="J421" i="17"/>
  <c r="J422" i="17"/>
  <c r="K422" i="17" s="1"/>
  <c r="J423" i="17"/>
  <c r="K423" i="17" s="1"/>
  <c r="J424" i="17"/>
  <c r="J425" i="17"/>
  <c r="K425" i="17" s="1"/>
  <c r="J427" i="17"/>
  <c r="J428" i="17"/>
  <c r="K428" i="17" s="1"/>
  <c r="J429" i="17"/>
  <c r="J430" i="17"/>
  <c r="K430" i="17" s="1"/>
  <c r="J431" i="17"/>
  <c r="K431" i="17" s="1"/>
  <c r="J432" i="17"/>
  <c r="J433" i="17"/>
  <c r="K433" i="17" s="1"/>
  <c r="J434" i="17"/>
  <c r="J435" i="17"/>
  <c r="K435" i="17" s="1"/>
  <c r="J437" i="17"/>
  <c r="J438" i="17"/>
  <c r="K438" i="17" s="1"/>
  <c r="J439" i="17"/>
  <c r="J440" i="17"/>
  <c r="J441" i="17"/>
  <c r="J442" i="17"/>
  <c r="J443" i="17"/>
  <c r="J444" i="17"/>
  <c r="J445" i="17"/>
  <c r="J446" i="17"/>
  <c r="J452" i="17"/>
  <c r="J453" i="17"/>
  <c r="K453" i="17" s="1"/>
  <c r="J456" i="17"/>
  <c r="J458" i="17"/>
  <c r="K458" i="17" s="1"/>
  <c r="J459" i="17"/>
  <c r="K459" i="17" s="1"/>
  <c r="J460" i="17"/>
  <c r="J462" i="17"/>
  <c r="K462" i="17" s="1"/>
  <c r="J463" i="17"/>
  <c r="K463" i="17" s="1"/>
  <c r="J464" i="17"/>
  <c r="J465" i="17"/>
  <c r="K465" i="17" s="1"/>
  <c r="J466" i="17"/>
  <c r="K466" i="17" s="1"/>
  <c r="J467" i="17"/>
  <c r="J468" i="17"/>
  <c r="K468" i="17" s="1"/>
  <c r="J469" i="17"/>
  <c r="K469" i="17" s="1"/>
  <c r="J470" i="17"/>
  <c r="J472" i="17"/>
  <c r="K472" i="17" s="1"/>
  <c r="J473" i="17"/>
  <c r="J475" i="17"/>
  <c r="K475" i="17" s="1"/>
  <c r="J476" i="17"/>
  <c r="J477" i="17"/>
  <c r="J478" i="17"/>
  <c r="J479" i="17"/>
  <c r="K479" i="17" s="1"/>
  <c r="J480" i="17"/>
  <c r="K480" i="17" s="1"/>
  <c r="J481" i="17"/>
  <c r="J485" i="17"/>
  <c r="J486" i="17"/>
  <c r="J487" i="17"/>
  <c r="K487" i="17" s="1"/>
  <c r="J488" i="17"/>
  <c r="K488" i="17" s="1"/>
  <c r="J489" i="17"/>
  <c r="J490" i="17"/>
  <c r="J491" i="17"/>
  <c r="K491" i="17" s="1"/>
  <c r="J492" i="17"/>
  <c r="K492" i="17" s="1"/>
  <c r="J493" i="17"/>
  <c r="J494" i="17"/>
  <c r="J495" i="17"/>
  <c r="K495" i="17" s="1"/>
  <c r="J496" i="17"/>
  <c r="K496" i="17" s="1"/>
  <c r="J497" i="17"/>
  <c r="J498" i="17"/>
  <c r="J499" i="17"/>
  <c r="K499" i="17" s="1"/>
  <c r="J500" i="17"/>
  <c r="K500" i="17" s="1"/>
  <c r="J501" i="17"/>
  <c r="J503" i="17"/>
  <c r="J504" i="17"/>
  <c r="J505" i="17"/>
  <c r="K505" i="17" s="1"/>
  <c r="J506" i="17"/>
  <c r="J509" i="17"/>
  <c r="J510" i="17"/>
  <c r="J511" i="17"/>
  <c r="K511" i="17" s="1"/>
  <c r="J512" i="17"/>
  <c r="K512" i="17" s="1"/>
  <c r="J513" i="17"/>
  <c r="J515" i="17"/>
  <c r="J516" i="17"/>
  <c r="K516" i="17" s="1"/>
  <c r="J517" i="17"/>
  <c r="K517" i="17" s="1"/>
  <c r="J518" i="17"/>
  <c r="J520" i="17"/>
  <c r="K520" i="17" s="1"/>
  <c r="J521" i="17"/>
  <c r="J522" i="17"/>
  <c r="J523" i="17"/>
  <c r="K523" i="17" s="1"/>
  <c r="J524" i="17"/>
  <c r="K524" i="17" s="1"/>
  <c r="J525" i="17"/>
  <c r="J526" i="17"/>
  <c r="J527" i="17"/>
  <c r="K527" i="17" s="1"/>
  <c r="J528" i="17"/>
  <c r="J529" i="17"/>
  <c r="K529" i="17" s="1"/>
  <c r="J530" i="17"/>
  <c r="K530" i="17" s="1"/>
  <c r="J531" i="17"/>
  <c r="K531" i="17" s="1"/>
  <c r="J532" i="17"/>
  <c r="K532" i="17" s="1"/>
  <c r="J533" i="17"/>
  <c r="K533" i="17" s="1"/>
  <c r="J534" i="17"/>
  <c r="K534" i="17" s="1"/>
  <c r="J535" i="17"/>
  <c r="K535" i="17" s="1"/>
  <c r="J536" i="17"/>
  <c r="K536" i="17" s="1"/>
  <c r="J538" i="17"/>
  <c r="K538" i="17" s="1"/>
  <c r="J539" i="17"/>
  <c r="K539" i="17" s="1"/>
  <c r="J540" i="17"/>
  <c r="K540" i="17" s="1"/>
  <c r="J541" i="17"/>
  <c r="K541" i="17" s="1"/>
  <c r="J542" i="17"/>
  <c r="J543" i="17"/>
  <c r="J545" i="17"/>
  <c r="J546" i="17"/>
  <c r="J547" i="17"/>
  <c r="J548" i="17"/>
  <c r="J550" i="17"/>
  <c r="K550" i="17" s="1"/>
  <c r="J551" i="17"/>
  <c r="K551" i="17" s="1"/>
  <c r="J552" i="17"/>
  <c r="K552" i="17" s="1"/>
  <c r="J553" i="17"/>
  <c r="K553" i="17" s="1"/>
  <c r="J554" i="17"/>
  <c r="K554" i="17" s="1"/>
  <c r="J555" i="17"/>
  <c r="K555" i="17" s="1"/>
  <c r="J556" i="17"/>
  <c r="K556" i="17" s="1"/>
  <c r="J557" i="17"/>
  <c r="K557" i="17" s="1"/>
  <c r="J558" i="17"/>
  <c r="K558" i="17" s="1"/>
  <c r="J559" i="17"/>
  <c r="K559" i="17" s="1"/>
  <c r="J560" i="17"/>
  <c r="K560" i="17" s="1"/>
  <c r="J561" i="17"/>
  <c r="J562" i="17"/>
  <c r="K562" i="17" s="1"/>
  <c r="J563" i="17"/>
  <c r="J564" i="17"/>
  <c r="J565" i="17"/>
  <c r="J566" i="17"/>
  <c r="J567" i="17"/>
  <c r="J568" i="17"/>
  <c r="J571" i="17"/>
  <c r="J572" i="17"/>
  <c r="K572" i="17" s="1"/>
  <c r="J574" i="17"/>
  <c r="K574" i="17" s="1"/>
  <c r="J575" i="17"/>
  <c r="K575" i="17" s="1"/>
  <c r="J576" i="17"/>
  <c r="K576" i="17" s="1"/>
  <c r="J577" i="17"/>
  <c r="K577" i="17" s="1"/>
  <c r="J578" i="17"/>
  <c r="J579" i="17"/>
  <c r="J580" i="17"/>
  <c r="J581" i="17"/>
  <c r="J582" i="17"/>
  <c r="J583" i="17"/>
  <c r="J585" i="17"/>
  <c r="K585" i="17" s="1"/>
  <c r="J586" i="17"/>
  <c r="K586" i="17" s="1"/>
  <c r="J587" i="17"/>
  <c r="K587" i="17" s="1"/>
  <c r="J588" i="17"/>
  <c r="K588" i="17" s="1"/>
  <c r="J589" i="17"/>
  <c r="K589" i="17" s="1"/>
  <c r="J590" i="17"/>
  <c r="K590" i="17" s="1"/>
  <c r="J591" i="17"/>
  <c r="J592" i="17"/>
  <c r="J594" i="17"/>
  <c r="J595" i="17"/>
  <c r="J596" i="17"/>
  <c r="J597" i="17"/>
  <c r="K597" i="17" s="1"/>
  <c r="J598" i="17"/>
  <c r="K598" i="17" s="1"/>
  <c r="J599" i="17"/>
  <c r="J601" i="17"/>
  <c r="J602" i="17"/>
  <c r="J603" i="17"/>
  <c r="J604" i="17"/>
  <c r="K604" i="17" s="1"/>
  <c r="J605" i="17"/>
  <c r="J606" i="17"/>
  <c r="K606" i="17" s="1"/>
  <c r="J607" i="17"/>
  <c r="J608" i="17"/>
  <c r="K608" i="17" s="1"/>
  <c r="J609" i="17"/>
  <c r="J610" i="17"/>
  <c r="K610" i="17" s="1"/>
  <c r="J611" i="17"/>
  <c r="J612" i="17"/>
  <c r="K612" i="17" s="1"/>
  <c r="J613" i="17"/>
  <c r="J614" i="17"/>
  <c r="J615" i="17"/>
  <c r="J616" i="17"/>
  <c r="J618" i="17"/>
  <c r="K618" i="17" s="1"/>
  <c r="J620" i="17"/>
  <c r="K620" i="17" s="1"/>
  <c r="J621" i="17"/>
  <c r="J622" i="17"/>
  <c r="K622" i="17" s="1"/>
  <c r="J623" i="17"/>
  <c r="J626" i="17"/>
  <c r="J630" i="17"/>
  <c r="J631" i="17"/>
  <c r="K631" i="17" s="1"/>
  <c r="J632" i="17"/>
  <c r="J633" i="17"/>
  <c r="J634" i="17"/>
  <c r="K634" i="17" s="1"/>
  <c r="J635" i="17"/>
  <c r="J636" i="17"/>
  <c r="J637" i="17"/>
  <c r="K637" i="17" s="1"/>
  <c r="J638" i="17"/>
  <c r="J639" i="17"/>
  <c r="J640" i="17"/>
  <c r="K640" i="17" s="1"/>
  <c r="J641" i="17"/>
  <c r="J642" i="17"/>
  <c r="J643" i="17"/>
  <c r="K643" i="17" s="1"/>
  <c r="J644" i="17"/>
  <c r="K644" i="17" s="1"/>
  <c r="J645" i="17"/>
  <c r="K645" i="17" s="1"/>
  <c r="J646" i="17"/>
  <c r="K646" i="17" s="1"/>
  <c r="J648" i="17"/>
  <c r="K648" i="17" s="1"/>
  <c r="J650" i="17"/>
  <c r="K650" i="17" s="1"/>
  <c r="J652" i="17"/>
  <c r="J653" i="17"/>
  <c r="J654" i="17"/>
  <c r="K654" i="17" s="1"/>
  <c r="J655" i="17"/>
  <c r="J656" i="17"/>
  <c r="J657" i="17"/>
  <c r="K657" i="17" s="1"/>
  <c r="J658" i="17"/>
  <c r="K658" i="17" s="1"/>
  <c r="J659" i="17"/>
  <c r="J660" i="17"/>
  <c r="J661" i="17"/>
  <c r="J662" i="17"/>
  <c r="J663" i="17"/>
  <c r="J666" i="17"/>
  <c r="J667" i="17"/>
  <c r="K667" i="17" s="1"/>
  <c r="J668" i="17"/>
  <c r="K668" i="17" s="1"/>
  <c r="J669" i="17"/>
  <c r="K669" i="17" s="1"/>
  <c r="J670" i="17"/>
  <c r="K670" i="17" s="1"/>
  <c r="J671" i="17"/>
  <c r="J672" i="17"/>
  <c r="J673" i="17"/>
  <c r="J674" i="17"/>
  <c r="J675" i="17"/>
  <c r="K675" i="17" s="1"/>
  <c r="J676" i="17"/>
  <c r="J677" i="17"/>
  <c r="J678" i="17"/>
  <c r="K678" i="17" s="1"/>
  <c r="J679" i="17"/>
  <c r="J680" i="17"/>
  <c r="J681" i="17"/>
  <c r="K681" i="17" s="1"/>
  <c r="J682" i="17"/>
  <c r="J683" i="17"/>
  <c r="J684" i="17"/>
  <c r="K684" i="17" s="1"/>
  <c r="J685" i="17"/>
  <c r="J686" i="17"/>
  <c r="J687" i="17"/>
  <c r="K687" i="17" s="1"/>
  <c r="J688" i="17"/>
  <c r="J691" i="17"/>
  <c r="J692" i="17"/>
  <c r="K692" i="17" s="1"/>
  <c r="J693" i="17"/>
  <c r="K693" i="17" s="1"/>
  <c r="J694" i="17"/>
  <c r="J695" i="17"/>
  <c r="J697" i="17"/>
  <c r="K697" i="17" s="1"/>
  <c r="J698" i="17"/>
  <c r="K698" i="17" s="1"/>
  <c r="J699" i="17"/>
  <c r="K699" i="17" s="1"/>
  <c r="J700" i="17"/>
  <c r="K700" i="17" s="1"/>
  <c r="J701" i="17"/>
  <c r="K701" i="17" s="1"/>
  <c r="J702" i="17"/>
  <c r="K702" i="17" s="1"/>
  <c r="J703" i="17"/>
  <c r="K703" i="17" s="1"/>
  <c r="J704" i="17"/>
  <c r="K704" i="17" s="1"/>
  <c r="J705" i="17"/>
  <c r="J706" i="17"/>
  <c r="J707" i="17"/>
  <c r="K707" i="17" s="1"/>
  <c r="J708" i="17"/>
  <c r="K708" i="17" s="1"/>
  <c r="J709" i="17"/>
  <c r="J710" i="17"/>
  <c r="J711" i="17"/>
  <c r="J712" i="17"/>
  <c r="J713" i="17"/>
  <c r="J714" i="17"/>
  <c r="J715" i="17"/>
  <c r="J716" i="17"/>
  <c r="J717" i="17"/>
  <c r="J718" i="17"/>
  <c r="J719" i="17"/>
  <c r="J720" i="17"/>
  <c r="J721" i="17"/>
  <c r="J722" i="17"/>
  <c r="K722" i="17" s="1"/>
  <c r="J723" i="17"/>
  <c r="K723" i="17" s="1"/>
  <c r="J724" i="17"/>
  <c r="K724" i="17" s="1"/>
  <c r="J726" i="17"/>
  <c r="K726" i="17" s="1"/>
  <c r="J728" i="17"/>
  <c r="J729" i="17"/>
  <c r="J730" i="17"/>
  <c r="J731" i="17"/>
  <c r="J732" i="17"/>
  <c r="J733" i="17"/>
  <c r="J734" i="17"/>
  <c r="K734" i="17" s="1"/>
  <c r="J735" i="17"/>
  <c r="K735" i="17" s="1"/>
  <c r="J736" i="17"/>
  <c r="J737" i="17"/>
  <c r="J738" i="17"/>
  <c r="K738" i="17" s="1"/>
  <c r="J739" i="17"/>
  <c r="J740" i="17"/>
  <c r="J741" i="17"/>
  <c r="K741" i="17" s="1"/>
  <c r="J742" i="17"/>
  <c r="K742" i="17" s="1"/>
  <c r="J743" i="17"/>
  <c r="J744" i="17"/>
  <c r="J745" i="17"/>
  <c r="J746" i="17"/>
  <c r="J747" i="17"/>
  <c r="J748" i="17"/>
  <c r="J749" i="17"/>
  <c r="J750" i="17"/>
  <c r="J751" i="17"/>
  <c r="J754" i="17"/>
  <c r="J755" i="17"/>
  <c r="K755" i="17" s="1"/>
  <c r="J756" i="17"/>
  <c r="J757" i="17"/>
  <c r="J758" i="17"/>
  <c r="K758" i="17" s="1"/>
  <c r="J759" i="17"/>
  <c r="J760" i="17"/>
  <c r="J761" i="17"/>
  <c r="K761" i="17" s="1"/>
  <c r="J762" i="17"/>
  <c r="J763" i="17"/>
  <c r="J764" i="17"/>
  <c r="K764" i="17" s="1"/>
  <c r="J765" i="17"/>
  <c r="J766" i="17"/>
  <c r="J767" i="17"/>
  <c r="K767" i="17" s="1"/>
  <c r="J768" i="17"/>
  <c r="K768" i="17" s="1"/>
  <c r="J769" i="17"/>
  <c r="K769" i="17" s="1"/>
  <c r="J770" i="17"/>
  <c r="J771" i="17"/>
  <c r="J772" i="17"/>
  <c r="K772" i="17" s="1"/>
  <c r="J773" i="17"/>
  <c r="J774" i="17"/>
  <c r="J775" i="17"/>
  <c r="K775" i="17" s="1"/>
  <c r="J776" i="17"/>
  <c r="J777" i="17"/>
  <c r="J778" i="17"/>
  <c r="K778" i="17" s="1"/>
  <c r="J779" i="17"/>
  <c r="K779" i="17" s="1"/>
  <c r="J780" i="17"/>
  <c r="J781" i="17"/>
  <c r="J782" i="17"/>
  <c r="J783" i="17"/>
  <c r="J785" i="17"/>
  <c r="J787" i="17"/>
  <c r="J788" i="17"/>
  <c r="K788" i="17" s="1"/>
  <c r="J790" i="17"/>
  <c r="J791" i="17"/>
  <c r="J792" i="17"/>
  <c r="J793" i="17"/>
  <c r="K793" i="17" s="1"/>
  <c r="J794" i="17"/>
  <c r="J795" i="17"/>
  <c r="K795" i="17" s="1"/>
  <c r="J796" i="17"/>
  <c r="J797" i="17"/>
  <c r="K797" i="17" s="1"/>
  <c r="J798" i="17"/>
  <c r="K798" i="17" s="1"/>
  <c r="J799" i="17"/>
  <c r="J800" i="17"/>
  <c r="J801" i="17"/>
  <c r="J802" i="17"/>
  <c r="J803" i="17"/>
  <c r="J804" i="17"/>
  <c r="J805" i="17"/>
  <c r="J806" i="17"/>
  <c r="J807" i="17"/>
  <c r="J809" i="17"/>
  <c r="J811" i="17"/>
  <c r="K811" i="17" s="1"/>
  <c r="J812" i="17"/>
  <c r="K812" i="17" s="1"/>
  <c r="J813" i="17"/>
  <c r="K813" i="17" s="1"/>
  <c r="J814" i="17"/>
  <c r="J815" i="17"/>
  <c r="J818" i="17"/>
  <c r="K818" i="17" s="1"/>
  <c r="J819" i="17"/>
  <c r="K819" i="17" s="1"/>
  <c r="J820" i="17"/>
  <c r="J821" i="17"/>
  <c r="J823" i="17"/>
  <c r="K823" i="17" s="1"/>
  <c r="J824" i="17"/>
  <c r="K824" i="17" s="1"/>
  <c r="J825" i="17"/>
  <c r="K825" i="17" s="1"/>
  <c r="J826" i="17"/>
  <c r="J828" i="17"/>
  <c r="K828" i="17" s="1"/>
  <c r="J829" i="17"/>
  <c r="K829" i="17" s="1"/>
  <c r="J830" i="17"/>
  <c r="K830" i="17" s="1"/>
  <c r="J831" i="17"/>
  <c r="K831" i="17" s="1"/>
  <c r="J832" i="17"/>
  <c r="J833" i="17"/>
  <c r="J834" i="17"/>
  <c r="J835" i="17"/>
  <c r="J836" i="17"/>
  <c r="J837" i="17"/>
  <c r="K837" i="17" s="1"/>
  <c r="J838" i="17"/>
  <c r="K838" i="17" s="1"/>
  <c r="J839" i="17"/>
  <c r="J840" i="17"/>
  <c r="K840" i="17" s="1"/>
  <c r="J841" i="17"/>
  <c r="J842" i="17"/>
  <c r="J843" i="17"/>
  <c r="J844" i="17"/>
  <c r="K844" i="17" s="1"/>
  <c r="J845" i="17"/>
  <c r="J846" i="17"/>
  <c r="K846" i="17" s="1"/>
  <c r="J847" i="17"/>
  <c r="J848" i="17"/>
  <c r="J849" i="17"/>
  <c r="J850" i="17"/>
  <c r="K850" i="17" s="1"/>
  <c r="J851" i="17"/>
  <c r="J852" i="17"/>
  <c r="K852" i="17" s="1"/>
  <c r="J853" i="17"/>
  <c r="K853" i="17" s="1"/>
  <c r="J854" i="17"/>
  <c r="J855" i="17"/>
  <c r="K855" i="17" s="1"/>
  <c r="J856" i="17"/>
  <c r="J857" i="17"/>
  <c r="K857" i="17" s="1"/>
  <c r="J858" i="17"/>
  <c r="J859" i="17"/>
  <c r="K859" i="17" s="1"/>
  <c r="J860" i="17"/>
  <c r="J861" i="17"/>
  <c r="K861" i="17" s="1"/>
  <c r="J862" i="17"/>
  <c r="J863" i="17"/>
  <c r="K863" i="17" s="1"/>
  <c r="J864" i="17"/>
  <c r="J865" i="17"/>
  <c r="K865" i="17" s="1"/>
  <c r="J866" i="17"/>
  <c r="K866" i="17" s="1"/>
  <c r="J867" i="17"/>
  <c r="J868" i="17"/>
  <c r="K868" i="17" s="1"/>
  <c r="J869" i="17"/>
  <c r="J870" i="17"/>
  <c r="J871" i="17"/>
  <c r="J872" i="17"/>
  <c r="J873" i="17"/>
  <c r="J874" i="17"/>
  <c r="J875" i="17"/>
  <c r="J876" i="17"/>
  <c r="J877" i="17"/>
  <c r="J879" i="17"/>
  <c r="J880" i="17"/>
  <c r="K880" i="17" s="1"/>
  <c r="J881" i="17"/>
  <c r="K881" i="17" s="1"/>
  <c r="J882" i="17"/>
  <c r="J884" i="17"/>
  <c r="K884" i="17" s="1"/>
  <c r="J885" i="17"/>
  <c r="K885" i="17" s="1"/>
  <c r="J886" i="17"/>
  <c r="J887" i="17"/>
  <c r="K887" i="17" s="1"/>
  <c r="J888" i="17"/>
  <c r="J889" i="17"/>
  <c r="K889" i="17" s="1"/>
  <c r="J890" i="17"/>
  <c r="K890" i="17" s="1"/>
  <c r="J891" i="17"/>
  <c r="J892" i="17"/>
  <c r="K892" i="17" s="1"/>
  <c r="J893" i="17"/>
  <c r="J894" i="17"/>
  <c r="K894" i="17" s="1"/>
  <c r="J895" i="17"/>
  <c r="J896" i="17"/>
  <c r="K896" i="17" s="1"/>
  <c r="J897" i="17"/>
  <c r="J898" i="17"/>
  <c r="K898" i="17" s="1"/>
  <c r="J899" i="17"/>
  <c r="J900" i="17"/>
  <c r="K900" i="17" s="1"/>
  <c r="J901" i="17"/>
  <c r="J902" i="17"/>
  <c r="K902" i="17" s="1"/>
  <c r="J903" i="17"/>
  <c r="J904" i="17"/>
  <c r="K904" i="17" s="1"/>
  <c r="J905" i="17"/>
  <c r="J906" i="17"/>
  <c r="K906" i="17" s="1"/>
  <c r="J907" i="17"/>
  <c r="J908" i="17"/>
  <c r="K908" i="17" s="1"/>
  <c r="J909" i="17"/>
  <c r="J910" i="17"/>
  <c r="K910" i="17" s="1"/>
  <c r="J911" i="17"/>
  <c r="J912" i="17"/>
  <c r="K912" i="17" s="1"/>
  <c r="J913" i="17"/>
  <c r="K913" i="17" s="1"/>
  <c r="J914" i="17"/>
  <c r="J915" i="17"/>
  <c r="J916" i="17"/>
  <c r="J917" i="17"/>
  <c r="J918" i="17"/>
  <c r="J919" i="17"/>
  <c r="J921" i="17"/>
  <c r="K921" i="17" s="1"/>
  <c r="J926" i="17"/>
  <c r="J929" i="17"/>
  <c r="J931" i="17"/>
  <c r="J933" i="17"/>
  <c r="J934" i="17"/>
  <c r="K934" i="17" s="1"/>
  <c r="J936" i="17"/>
  <c r="J938" i="17"/>
  <c r="J940" i="17"/>
  <c r="K940" i="17" s="1"/>
  <c r="J941" i="17"/>
  <c r="K941" i="17" s="1"/>
  <c r="J942" i="17"/>
  <c r="K942" i="17" s="1"/>
  <c r="J943" i="17"/>
  <c r="K943" i="17" s="1"/>
  <c r="J945" i="17"/>
  <c r="K945" i="17" s="1"/>
  <c r="J946" i="17"/>
  <c r="K946" i="17" s="1"/>
  <c r="J947" i="17"/>
  <c r="J949" i="17"/>
  <c r="K949" i="17" s="1"/>
  <c r="J950" i="17"/>
  <c r="K950" i="17" s="1"/>
  <c r="J951" i="17"/>
  <c r="K951" i="17" s="1"/>
  <c r="J953" i="17"/>
  <c r="K953" i="17" s="1"/>
  <c r="J954" i="17"/>
  <c r="J955" i="17"/>
  <c r="J956" i="17"/>
  <c r="J957" i="17"/>
  <c r="J958" i="17"/>
  <c r="J959" i="17"/>
  <c r="J960" i="17"/>
  <c r="J961" i="17"/>
  <c r="K961" i="17" s="1"/>
  <c r="J962" i="17"/>
  <c r="K962" i="17" s="1"/>
  <c r="J963" i="17"/>
  <c r="K963" i="17" s="1"/>
  <c r="J964" i="17"/>
  <c r="J965" i="17"/>
  <c r="K965" i="17" s="1"/>
  <c r="J966" i="17"/>
  <c r="K966" i="17" s="1"/>
  <c r="J967" i="17"/>
  <c r="K967" i="17" s="1"/>
  <c r="J968" i="17"/>
  <c r="J969" i="17"/>
  <c r="J970" i="17"/>
  <c r="J971" i="17"/>
  <c r="J973" i="17"/>
  <c r="K973" i="17" s="1"/>
  <c r="J979" i="17"/>
  <c r="J982" i="17"/>
  <c r="J983" i="17"/>
  <c r="K983" i="17" s="1"/>
  <c r="J984" i="17"/>
  <c r="J985" i="17"/>
  <c r="K985" i="17" s="1"/>
  <c r="J986" i="17"/>
  <c r="J987" i="17"/>
  <c r="J988" i="17"/>
  <c r="K988" i="17" s="1"/>
  <c r="J989" i="17"/>
  <c r="J991" i="17"/>
  <c r="K991" i="17" s="1"/>
  <c r="J993" i="17"/>
  <c r="K993" i="17" s="1"/>
  <c r="J994" i="17"/>
  <c r="J995" i="17"/>
  <c r="J996" i="17"/>
  <c r="J997" i="17"/>
  <c r="K997" i="17" s="1"/>
  <c r="J998" i="17"/>
  <c r="J1000" i="17"/>
  <c r="J1001" i="17"/>
  <c r="K1001" i="17" s="1"/>
  <c r="J1002" i="17"/>
  <c r="K1002" i="17" s="1"/>
  <c r="J1003" i="17"/>
  <c r="J1005" i="17"/>
  <c r="K1005" i="17" s="1"/>
  <c r="J1006" i="17"/>
  <c r="K1006" i="17" s="1"/>
  <c r="J1007" i="17"/>
  <c r="K1007" i="17" s="1"/>
  <c r="J1008" i="17"/>
  <c r="K1008" i="17" s="1"/>
  <c r="J1009" i="17"/>
  <c r="J1010" i="17"/>
  <c r="J1011" i="17"/>
  <c r="J1013" i="17"/>
  <c r="K1013" i="17" s="1"/>
  <c r="J1014" i="17"/>
  <c r="K1014" i="17" s="1"/>
  <c r="J1015" i="17"/>
  <c r="J1016" i="17"/>
  <c r="J1018" i="17"/>
  <c r="K1018" i="17" s="1"/>
  <c r="J1019" i="17"/>
  <c r="K1019" i="17" s="1"/>
  <c r="J1020" i="17"/>
  <c r="K1020" i="17" s="1"/>
  <c r="J1021" i="17"/>
  <c r="J1022" i="17"/>
  <c r="K1022" i="17" s="1"/>
  <c r="J1023" i="17"/>
  <c r="K1023" i="17" s="1"/>
  <c r="J1024" i="17"/>
  <c r="J1025" i="17"/>
  <c r="K1025" i="17" s="1"/>
  <c r="J1026" i="17"/>
  <c r="J1027" i="17"/>
  <c r="K1027" i="17" s="1"/>
  <c r="J1028" i="17"/>
  <c r="K1028" i="17" s="1"/>
  <c r="J1029" i="17"/>
  <c r="J1030" i="17"/>
  <c r="K1030" i="17" s="1"/>
  <c r="J1031" i="17"/>
  <c r="J1032" i="17"/>
  <c r="K1032" i="17" s="1"/>
  <c r="J1033" i="17"/>
  <c r="K1033" i="17" s="1"/>
  <c r="J1034" i="17"/>
  <c r="J1035" i="17"/>
  <c r="K1035" i="17" s="1"/>
  <c r="J1036" i="17"/>
  <c r="J1037" i="17"/>
  <c r="K1037" i="17" s="1"/>
  <c r="J1038" i="17"/>
  <c r="K1038" i="17" s="1"/>
  <c r="J1039" i="17"/>
  <c r="J1040" i="17"/>
  <c r="K1040" i="17" s="1"/>
  <c r="J1041" i="17"/>
  <c r="J1042" i="17"/>
  <c r="K1042" i="17" s="1"/>
  <c r="J1043" i="17"/>
  <c r="K1043" i="17" s="1"/>
  <c r="J1044" i="17"/>
  <c r="J1045" i="17"/>
  <c r="K1045" i="17" s="1"/>
  <c r="J1046" i="17"/>
  <c r="J1047" i="17"/>
  <c r="K1047" i="17" s="1"/>
  <c r="J1048" i="17"/>
  <c r="K1048" i="17" s="1"/>
  <c r="J1049" i="17"/>
  <c r="J1050" i="17"/>
  <c r="K1050" i="17" s="1"/>
  <c r="J1051" i="17"/>
  <c r="J1052" i="17"/>
  <c r="J1053" i="17"/>
  <c r="J1054" i="17"/>
  <c r="J1055" i="17"/>
  <c r="J1056" i="17"/>
  <c r="J1057" i="17"/>
  <c r="K1057" i="17" s="1"/>
  <c r="J1058" i="17"/>
  <c r="J1059" i="17"/>
  <c r="K1059" i="17" s="1"/>
  <c r="J1060" i="17"/>
  <c r="J1061" i="17"/>
  <c r="J1062" i="17"/>
  <c r="J1063" i="17"/>
  <c r="J1065" i="17"/>
  <c r="K1065" i="17" s="1"/>
  <c r="J1068" i="17"/>
  <c r="K1068" i="17" s="1"/>
  <c r="J1069" i="17"/>
  <c r="J1072" i="17"/>
  <c r="J1074" i="17"/>
  <c r="K1074" i="17" s="1"/>
  <c r="J1075" i="17"/>
  <c r="K1075" i="17" s="1"/>
  <c r="J1076" i="17"/>
  <c r="J1077" i="17"/>
  <c r="K1077" i="17" s="1"/>
  <c r="J1078" i="17"/>
  <c r="K1078" i="17" s="1"/>
  <c r="J1079" i="17"/>
  <c r="J1083" i="17"/>
  <c r="J1084" i="17"/>
  <c r="K1084" i="17" s="1"/>
  <c r="J1085" i="17"/>
  <c r="J1086" i="17"/>
  <c r="J1087" i="17"/>
  <c r="K1087" i="17" s="1"/>
  <c r="J1088" i="17"/>
  <c r="K1088" i="17" s="1"/>
  <c r="J1089" i="17"/>
  <c r="J1090" i="17"/>
  <c r="J1091" i="17"/>
  <c r="K1091" i="17" s="1"/>
  <c r="J1092" i="17"/>
  <c r="J1093" i="17"/>
  <c r="K1093" i="17" s="1"/>
  <c r="J1094" i="17"/>
  <c r="J1095" i="17"/>
  <c r="K1095" i="17" s="1"/>
  <c r="J1096" i="17"/>
  <c r="K1096" i="17" s="1"/>
  <c r="J1097" i="17"/>
  <c r="J1098" i="17"/>
  <c r="J1099" i="17"/>
  <c r="J1103" i="17"/>
  <c r="J1104" i="17"/>
  <c r="K1104" i="17" s="1"/>
  <c r="J1105" i="17"/>
  <c r="K1105" i="17" s="1"/>
  <c r="J1107" i="17"/>
  <c r="J1108" i="17"/>
  <c r="J1109" i="17"/>
  <c r="K1109" i="17" s="1"/>
  <c r="J1110" i="17"/>
  <c r="J1111" i="17"/>
  <c r="K1111" i="17" s="1"/>
  <c r="J1113" i="17"/>
  <c r="J1114" i="17"/>
  <c r="K1114" i="17" s="1"/>
  <c r="J1115" i="17"/>
  <c r="K1115" i="17" s="1"/>
  <c r="J1116" i="17"/>
  <c r="J1117" i="17"/>
  <c r="K1117" i="17" s="1"/>
  <c r="J1118" i="17"/>
  <c r="J1120" i="17"/>
  <c r="K1120" i="17" s="1"/>
  <c r="J1121" i="17"/>
  <c r="J1123" i="17"/>
  <c r="J1124" i="17"/>
  <c r="K1124" i="17" s="1"/>
  <c r="J1125" i="17"/>
  <c r="K1125" i="17" s="1"/>
  <c r="J1126" i="17"/>
  <c r="J1128" i="17"/>
  <c r="K1128" i="17" s="1"/>
  <c r="J1129" i="17"/>
  <c r="K1129" i="17" s="1"/>
  <c r="J1130" i="17"/>
  <c r="K1130" i="17" s="1"/>
  <c r="J1131" i="17"/>
  <c r="K1131" i="17" s="1"/>
  <c r="J1132" i="17"/>
  <c r="J1133" i="17"/>
  <c r="J1134" i="17"/>
  <c r="J1135" i="17"/>
  <c r="K1135" i="17" s="1"/>
  <c r="J1136" i="17"/>
  <c r="J1137" i="17"/>
  <c r="K1137" i="17" s="1"/>
  <c r="J1138" i="17"/>
  <c r="K1138" i="17" s="1"/>
  <c r="J1139" i="17"/>
  <c r="J1140" i="17"/>
  <c r="K1140" i="17" s="1"/>
  <c r="J1141" i="17"/>
  <c r="J1142" i="17"/>
  <c r="K1142" i="17" s="1"/>
  <c r="J1143" i="17"/>
  <c r="J1144" i="17"/>
  <c r="K1144" i="17" s="1"/>
  <c r="J1145" i="17"/>
  <c r="K1145" i="17" s="1"/>
  <c r="J1146" i="17"/>
  <c r="J1147" i="17"/>
  <c r="K1147" i="17" s="1"/>
  <c r="J1148" i="17"/>
  <c r="J1149" i="17"/>
  <c r="J1150" i="17"/>
  <c r="K1150" i="17" s="1"/>
  <c r="J1151" i="17"/>
  <c r="K1151" i="17" s="1"/>
  <c r="J1152" i="17"/>
  <c r="K1152" i="17" s="1"/>
  <c r="J1153" i="17"/>
  <c r="K1153" i="17" s="1"/>
  <c r="J1154" i="17"/>
  <c r="K1154" i="17" s="1"/>
  <c r="J1155" i="17"/>
  <c r="K1155" i="17" s="1"/>
  <c r="J1156" i="17"/>
  <c r="K1156" i="17" s="1"/>
  <c r="J1157" i="17"/>
  <c r="K1157" i="17" s="1"/>
  <c r="J1158" i="17"/>
  <c r="J1159" i="17"/>
  <c r="J1160" i="17"/>
  <c r="J1161" i="17"/>
  <c r="K1161" i="17" s="1"/>
  <c r="J1162" i="17"/>
  <c r="K1162" i="17" s="1"/>
  <c r="J1163" i="17"/>
  <c r="J1164" i="17"/>
  <c r="K1164" i="17" s="1"/>
  <c r="J1165" i="17"/>
  <c r="J1166" i="17"/>
  <c r="J1167" i="17"/>
  <c r="K1167" i="17" s="1"/>
  <c r="J1168" i="17"/>
  <c r="K1168" i="17" s="1"/>
  <c r="J1169" i="17"/>
  <c r="J1170" i="17"/>
  <c r="K1170" i="17" s="1"/>
  <c r="J1171" i="17"/>
  <c r="J1172" i="17"/>
  <c r="K1172" i="17" s="1"/>
  <c r="J1173" i="17"/>
  <c r="K1173" i="17" s="1"/>
  <c r="J1174" i="17"/>
  <c r="J1175" i="17"/>
  <c r="K1175" i="17" s="1"/>
  <c r="J1176" i="17"/>
  <c r="J1177" i="17"/>
  <c r="K1177" i="17" s="1"/>
  <c r="J1178" i="17"/>
  <c r="J1179" i="17"/>
  <c r="J1180" i="17"/>
  <c r="J1181" i="17"/>
  <c r="J1183" i="17"/>
  <c r="K1183" i="17" s="1"/>
  <c r="J1186" i="17"/>
  <c r="J1189" i="17"/>
  <c r="J1192" i="17"/>
  <c r="J1194" i="17"/>
  <c r="J1196" i="17"/>
  <c r="J1197" i="17"/>
  <c r="K1197" i="17" s="1"/>
  <c r="J1198" i="17"/>
  <c r="J1199" i="17"/>
  <c r="K1199" i="17" s="1"/>
  <c r="J1200" i="17"/>
  <c r="J1201" i="17"/>
  <c r="J1202" i="17"/>
  <c r="J1203" i="17"/>
  <c r="J1205" i="17"/>
  <c r="K1205" i="17" s="1"/>
  <c r="J1207" i="17"/>
  <c r="J1210" i="17"/>
  <c r="J1211" i="17"/>
  <c r="K1211" i="17" s="1"/>
  <c r="J1212" i="17"/>
  <c r="K1212" i="17" s="1"/>
  <c r="J1213" i="17"/>
  <c r="J1214" i="17"/>
  <c r="K1214" i="17" s="1"/>
  <c r="J1215" i="17"/>
  <c r="J1216" i="17"/>
  <c r="K1216" i="17" s="1"/>
  <c r="J1217" i="17"/>
  <c r="J1218" i="17"/>
  <c r="K1218" i="17" s="1"/>
  <c r="J1219" i="17"/>
  <c r="J1220" i="17"/>
  <c r="K1220" i="17" s="1"/>
  <c r="J1221" i="17"/>
  <c r="J1222" i="17"/>
  <c r="K1222" i="17" s="1"/>
  <c r="J1223" i="17"/>
  <c r="J1224" i="17"/>
  <c r="J1225" i="17"/>
  <c r="J1226" i="17"/>
  <c r="J1227" i="17"/>
  <c r="J1228" i="17"/>
  <c r="J1230" i="17"/>
  <c r="K1230" i="17" s="1"/>
  <c r="J1235" i="17"/>
  <c r="J1237" i="17"/>
  <c r="K1237" i="17" s="1"/>
  <c r="J1238" i="17"/>
  <c r="K1238" i="17" s="1"/>
  <c r="J1239" i="17"/>
  <c r="J1242" i="17"/>
  <c r="J1243" i="17"/>
  <c r="K1243" i="17" s="1"/>
  <c r="J1244" i="17"/>
  <c r="K1244" i="17" s="1"/>
  <c r="J1245" i="17"/>
  <c r="J1248" i="17"/>
  <c r="J1249" i="17"/>
  <c r="K1249" i="17" s="1"/>
  <c r="J1250" i="17"/>
  <c r="K1250" i="17" s="1"/>
  <c r="J1251" i="17"/>
  <c r="J1252" i="17"/>
  <c r="J1253" i="17"/>
  <c r="K1253" i="17" s="1"/>
  <c r="J1254" i="17"/>
  <c r="K1254" i="17" s="1"/>
  <c r="J1255" i="17"/>
  <c r="J1257" i="17"/>
  <c r="K1257" i="17" s="1"/>
  <c r="J1258" i="17"/>
  <c r="K1258" i="17" s="1"/>
  <c r="J1259" i="17"/>
  <c r="J1261" i="17"/>
  <c r="J1263" i="17"/>
  <c r="K1263" i="17" s="1"/>
  <c r="J1264" i="17"/>
  <c r="J1266" i="17"/>
  <c r="J1267" i="17"/>
  <c r="K1267" i="17" s="1"/>
  <c r="J1268" i="17"/>
  <c r="J1269" i="17"/>
  <c r="K1269" i="17" s="1"/>
  <c r="J1270" i="17"/>
  <c r="J1272" i="17"/>
  <c r="J1273" i="17"/>
  <c r="K1273" i="17" s="1"/>
  <c r="J1274" i="17"/>
  <c r="J1275" i="17"/>
  <c r="K1275" i="17" s="1"/>
  <c r="J1276" i="17"/>
  <c r="J1277" i="17"/>
  <c r="K1277" i="17" s="1"/>
  <c r="J1278" i="17"/>
  <c r="J1279" i="17"/>
  <c r="K1279" i="17" s="1"/>
  <c r="J1280" i="17"/>
  <c r="J1281" i="17"/>
  <c r="J1282" i="17"/>
  <c r="J1283" i="17"/>
  <c r="J1285" i="17"/>
  <c r="K1285" i="17" s="1"/>
  <c r="J1288" i="17"/>
  <c r="K1288" i="17" s="1"/>
  <c r="J1289" i="17"/>
  <c r="K1289" i="17" s="1"/>
  <c r="J1292" i="17"/>
  <c r="J1294" i="17"/>
  <c r="K1294" i="17" s="1"/>
  <c r="J1295" i="17"/>
  <c r="K1295" i="17" s="1"/>
  <c r="J1296" i="17"/>
  <c r="J1299" i="17"/>
  <c r="J1300" i="17"/>
  <c r="K1300" i="17" s="1"/>
  <c r="J1301" i="17"/>
  <c r="K1301" i="17" s="1"/>
  <c r="J1302" i="17"/>
  <c r="J1304" i="17"/>
  <c r="J1305" i="17"/>
  <c r="J1306" i="17"/>
  <c r="J1307" i="17"/>
  <c r="J1308" i="17"/>
  <c r="J1310" i="17"/>
  <c r="J1311" i="17"/>
  <c r="K1311" i="17" s="1"/>
  <c r="J1312" i="17"/>
  <c r="K1312" i="17" s="1"/>
  <c r="J1313" i="17"/>
  <c r="J1314" i="17"/>
  <c r="J1315" i="17"/>
  <c r="K1315" i="17" s="1"/>
  <c r="J1316" i="17"/>
  <c r="K1316" i="17" s="1"/>
  <c r="J1317" i="17"/>
  <c r="J1319" i="17"/>
  <c r="K1319" i="17" s="1"/>
  <c r="J1320" i="17"/>
  <c r="K1320" i="17" s="1"/>
  <c r="J1321" i="17"/>
  <c r="J1323" i="17"/>
  <c r="J1324" i="17"/>
  <c r="K1324" i="17" s="1"/>
  <c r="J1325" i="17"/>
  <c r="K1325" i="17" s="1"/>
  <c r="J1326" i="17"/>
  <c r="J1328" i="17"/>
  <c r="K1328" i="17" s="1"/>
  <c r="J1330" i="17"/>
  <c r="J1331" i="17"/>
  <c r="K1331" i="17" s="1"/>
  <c r="J1332" i="17"/>
  <c r="J1333" i="17"/>
  <c r="K1333" i="17" s="1"/>
  <c r="J1334" i="17"/>
  <c r="J1335" i="17"/>
  <c r="K1335" i="17" s="1"/>
  <c r="J1336" i="17"/>
  <c r="J1338" i="17"/>
  <c r="J1339" i="17"/>
  <c r="K1339" i="17" s="1"/>
  <c r="J1340" i="17"/>
  <c r="J1341" i="17"/>
  <c r="K1341" i="17" s="1"/>
  <c r="J1342" i="17"/>
  <c r="J1343" i="17"/>
  <c r="K1343" i="17" s="1"/>
  <c r="J1344" i="17"/>
  <c r="J1345" i="17"/>
  <c r="K1345" i="17" s="1"/>
  <c r="J1346" i="17"/>
  <c r="J1347" i="17"/>
  <c r="K1347" i="17" s="1"/>
  <c r="J1348" i="17"/>
  <c r="K1348" i="17" s="1"/>
  <c r="J1349" i="17"/>
  <c r="J1350" i="17"/>
  <c r="K1350" i="17" s="1"/>
  <c r="J1351" i="17"/>
  <c r="K1351" i="17" s="1"/>
  <c r="J1352" i="17"/>
  <c r="J1353" i="17"/>
  <c r="K1353" i="17" s="1"/>
  <c r="J1354" i="17"/>
  <c r="K1354" i="17" s="1"/>
  <c r="J1355" i="17"/>
  <c r="J1356" i="17"/>
  <c r="K1356" i="17" s="1"/>
  <c r="J1357" i="17"/>
  <c r="J1358" i="17"/>
  <c r="K1358" i="17" s="1"/>
  <c r="J1359" i="17"/>
  <c r="K1359" i="17" s="1"/>
  <c r="J1360" i="17"/>
  <c r="J1361" i="17"/>
  <c r="K1361" i="17" s="1"/>
  <c r="J1362" i="17"/>
  <c r="K1362" i="17" s="1"/>
  <c r="J1363" i="17"/>
  <c r="J1364" i="17"/>
  <c r="K1364" i="17" s="1"/>
  <c r="J1365" i="17"/>
  <c r="J1366" i="17"/>
  <c r="J1367" i="17"/>
  <c r="J1368" i="17"/>
  <c r="J1370" i="17"/>
  <c r="K1370" i="17" s="1"/>
  <c r="J1375" i="17"/>
  <c r="J1378" i="17"/>
  <c r="J1379" i="17"/>
  <c r="K1379" i="17" s="1"/>
  <c r="J1380" i="17"/>
  <c r="K1380" i="17" s="1"/>
  <c r="J1381" i="17"/>
  <c r="J1384" i="17"/>
  <c r="J1385" i="17"/>
  <c r="K1385" i="17" s="1"/>
  <c r="J1386" i="17"/>
  <c r="K1386" i="17" s="1"/>
  <c r="J1387" i="17"/>
  <c r="J1388" i="17"/>
  <c r="J1389" i="17"/>
  <c r="K1389" i="17" s="1"/>
  <c r="J1390" i="17"/>
  <c r="K1390" i="17" s="1"/>
  <c r="J1391" i="17"/>
  <c r="J1393" i="17"/>
  <c r="K1393" i="17" s="1"/>
  <c r="J1394" i="17"/>
  <c r="J1396" i="17"/>
  <c r="J1397" i="17"/>
  <c r="K1397" i="17" s="1"/>
  <c r="J1398" i="17"/>
  <c r="K1398" i="17" s="1"/>
  <c r="J1399" i="17"/>
  <c r="J1401" i="17"/>
  <c r="J1402" i="17"/>
  <c r="K1402" i="17" s="1"/>
  <c r="J1403" i="17"/>
  <c r="J1404" i="17"/>
  <c r="K1404" i="17" s="1"/>
  <c r="J1405" i="17"/>
  <c r="J1406" i="17"/>
  <c r="K1406" i="17" s="1"/>
  <c r="J1407" i="17"/>
  <c r="J1409" i="17"/>
  <c r="K1409" i="17" s="1"/>
  <c r="J1410" i="17"/>
  <c r="J1411" i="17"/>
  <c r="K1411" i="17" s="1"/>
  <c r="J1412" i="17"/>
  <c r="J1413" i="17"/>
  <c r="K1413" i="17" s="1"/>
  <c r="J1414" i="17"/>
  <c r="J1415" i="17"/>
  <c r="K1415" i="17" s="1"/>
  <c r="J1416" i="17"/>
  <c r="J1417" i="17"/>
  <c r="J1418" i="17"/>
  <c r="J1419" i="17"/>
  <c r="J1421" i="17"/>
  <c r="K1421" i="17" s="1"/>
  <c r="J1424" i="17"/>
  <c r="J1427" i="17"/>
  <c r="J1429" i="17"/>
  <c r="K1429" i="17" s="1"/>
  <c r="J1430" i="17"/>
  <c r="K1430" i="17" s="1"/>
  <c r="J1431" i="17"/>
  <c r="J1434" i="17"/>
  <c r="J1435" i="17"/>
  <c r="K1435" i="17" s="1"/>
  <c r="J1436" i="17"/>
  <c r="K1436" i="17" s="1"/>
  <c r="J1437" i="17"/>
  <c r="J1440" i="17"/>
  <c r="J1441" i="17"/>
  <c r="K1441" i="17" s="1"/>
  <c r="J1442" i="17"/>
  <c r="K1442" i="17" s="1"/>
  <c r="J1443" i="17"/>
  <c r="J1445" i="17"/>
  <c r="J1447" i="17"/>
  <c r="J1448" i="17"/>
  <c r="K1448" i="17" s="1"/>
  <c r="J1449" i="17"/>
  <c r="K1449" i="17" s="1"/>
  <c r="J1450" i="17"/>
  <c r="J1452" i="17"/>
  <c r="J1453" i="17"/>
  <c r="K1453" i="17" s="1"/>
  <c r="J1454" i="17"/>
  <c r="K1454" i="17" s="1"/>
  <c r="J1455" i="17"/>
  <c r="J1456" i="17"/>
  <c r="J1457" i="17"/>
  <c r="K1457" i="17" s="1"/>
  <c r="J1458" i="17"/>
  <c r="K1458" i="17" s="1"/>
  <c r="J1459" i="17"/>
  <c r="J1461" i="17"/>
  <c r="K1461" i="17" s="1"/>
  <c r="J1462" i="17"/>
  <c r="K1462" i="17" s="1"/>
  <c r="J1463" i="17"/>
  <c r="J1465" i="17"/>
  <c r="J1466" i="17"/>
  <c r="K1466" i="17" s="1"/>
  <c r="J1467" i="17"/>
  <c r="K1467" i="17" s="1"/>
  <c r="J1468" i="17"/>
  <c r="J1470" i="17"/>
  <c r="K1470" i="17" s="1"/>
  <c r="J1471" i="17"/>
  <c r="K1471" i="17" s="1"/>
  <c r="J1473" i="17"/>
  <c r="J1474" i="17"/>
  <c r="K1474" i="17" s="1"/>
  <c r="J1475" i="17"/>
  <c r="J1476" i="17"/>
  <c r="K1476" i="17" s="1"/>
  <c r="J1477" i="17"/>
  <c r="J1479" i="17"/>
  <c r="J1480" i="17"/>
  <c r="K1480" i="17" s="1"/>
  <c r="J1481" i="17"/>
  <c r="J1482" i="17"/>
  <c r="K1482" i="17" s="1"/>
  <c r="J1483" i="17"/>
  <c r="J1484" i="17"/>
  <c r="K1484" i="17" s="1"/>
  <c r="J1485" i="17"/>
  <c r="K1485" i="17" s="1"/>
  <c r="J1486" i="17"/>
  <c r="J1487" i="17"/>
  <c r="K1487" i="17" s="1"/>
  <c r="J1488" i="17"/>
  <c r="J1489" i="17"/>
  <c r="J1490" i="17"/>
  <c r="J1491" i="17"/>
  <c r="J1493" i="17"/>
  <c r="K1493" i="17" s="1"/>
  <c r="J1498" i="17"/>
  <c r="J1500" i="17"/>
  <c r="K1500" i="17" s="1"/>
  <c r="J1501" i="17"/>
  <c r="K1501" i="17" s="1"/>
  <c r="J1502" i="17"/>
  <c r="J1505" i="17"/>
  <c r="J1506" i="17"/>
  <c r="K1506" i="17" s="1"/>
  <c r="J1507" i="17"/>
  <c r="K1507" i="17" s="1"/>
  <c r="J1508" i="17"/>
  <c r="J1510" i="17"/>
  <c r="J1512" i="17"/>
  <c r="J1513" i="17"/>
  <c r="K1513" i="17" s="1"/>
  <c r="J1514" i="17"/>
  <c r="K1514" i="17" s="1"/>
  <c r="J1515" i="17"/>
  <c r="J1516" i="17"/>
  <c r="J1517" i="17"/>
  <c r="K1517" i="17" s="1"/>
  <c r="J1518" i="17"/>
  <c r="K1518" i="17" s="1"/>
  <c r="J1519" i="17"/>
  <c r="J1521" i="17"/>
  <c r="K1521" i="17" s="1"/>
  <c r="J1522" i="17"/>
  <c r="J1524" i="17"/>
  <c r="J1525" i="17"/>
  <c r="K1525" i="17" s="1"/>
  <c r="J1526" i="17"/>
  <c r="K1526" i="17" s="1"/>
  <c r="J1527" i="17"/>
  <c r="J1529" i="17"/>
  <c r="K1529" i="17" s="1"/>
  <c r="J1530" i="17"/>
  <c r="K1530" i="17" s="1"/>
  <c r="J1531" i="17"/>
  <c r="J1532" i="17"/>
  <c r="K1532" i="17" s="1"/>
  <c r="J1533" i="17"/>
  <c r="J1537" i="17"/>
  <c r="K1537" i="17" s="1"/>
  <c r="J1538" i="17"/>
  <c r="J1539" i="17"/>
  <c r="K1539" i="17" s="1"/>
  <c r="J1540" i="17"/>
  <c r="J1542" i="17"/>
  <c r="K1542" i="17" s="1"/>
  <c r="J1543" i="17"/>
  <c r="J1544" i="17"/>
  <c r="K1544" i="17" s="1"/>
  <c r="J1545" i="17"/>
  <c r="J1546" i="17"/>
  <c r="K1546" i="17" s="1"/>
  <c r="J1547" i="17"/>
  <c r="J1548" i="17"/>
  <c r="K1548" i="17" s="1"/>
  <c r="J1549" i="17"/>
  <c r="J1550" i="17"/>
  <c r="J1551" i="17"/>
  <c r="J1552" i="17"/>
  <c r="J1554" i="17"/>
  <c r="K1554" i="17" s="1"/>
  <c r="J1557" i="17"/>
  <c r="J1560" i="17"/>
  <c r="J1562" i="17"/>
  <c r="K1562" i="17" s="1"/>
  <c r="J1563" i="17"/>
  <c r="K1563" i="17" s="1"/>
  <c r="J1564" i="17"/>
  <c r="J1567" i="17"/>
  <c r="J1568" i="17"/>
  <c r="K1568" i="17" s="1"/>
  <c r="J1569" i="17"/>
  <c r="K1569" i="17" s="1"/>
  <c r="J1570" i="17"/>
  <c r="J1572" i="17"/>
  <c r="J1574" i="17"/>
  <c r="J1575" i="17"/>
  <c r="K1575" i="17" s="1"/>
  <c r="J1576" i="17"/>
  <c r="K1576" i="17" s="1"/>
  <c r="J1577" i="17"/>
  <c r="J1579" i="17"/>
  <c r="J1580" i="17"/>
  <c r="K1580" i="17" s="1"/>
  <c r="J1581" i="17"/>
  <c r="K1581" i="17" s="1"/>
  <c r="J1582" i="17"/>
  <c r="J1584" i="17"/>
  <c r="J1585" i="17"/>
  <c r="K1585" i="17" s="1"/>
  <c r="J1586" i="17"/>
  <c r="K1586" i="17" s="1"/>
  <c r="J1587" i="17"/>
  <c r="J1588" i="17"/>
  <c r="J1589" i="17"/>
  <c r="K1589" i="17" s="1"/>
  <c r="J1590" i="17"/>
  <c r="K1590" i="17" s="1"/>
  <c r="J1591" i="17"/>
  <c r="J1592" i="17"/>
  <c r="J1593" i="17"/>
  <c r="K1593" i="17" s="1"/>
  <c r="J1594" i="17"/>
  <c r="K1594" i="17" s="1"/>
  <c r="J1595" i="17"/>
  <c r="J1597" i="17"/>
  <c r="K1597" i="17" s="1"/>
  <c r="J1598" i="17"/>
  <c r="J1600" i="17"/>
  <c r="J1601" i="17"/>
  <c r="K1601" i="17" s="1"/>
  <c r="J1602" i="17"/>
  <c r="K1602" i="17" s="1"/>
  <c r="J1603" i="17"/>
  <c r="J1605" i="17"/>
  <c r="J1606" i="17"/>
  <c r="K1606" i="17" s="1"/>
  <c r="J1607" i="17"/>
  <c r="J1608" i="17"/>
  <c r="K1608" i="17" s="1"/>
  <c r="J1609" i="17"/>
  <c r="J1611" i="17"/>
  <c r="K1611" i="17" s="1"/>
  <c r="J1612" i="17"/>
  <c r="J1613" i="17"/>
  <c r="K1613" i="17" s="1"/>
  <c r="J1614" i="17"/>
  <c r="J1615" i="17"/>
  <c r="K1615" i="17" s="1"/>
  <c r="J1616" i="17"/>
  <c r="J1617" i="17"/>
  <c r="K1617" i="17" s="1"/>
  <c r="J1618" i="17"/>
  <c r="K1618" i="17" s="1"/>
  <c r="J1619" i="17"/>
  <c r="J1620" i="17"/>
  <c r="K1620" i="17" s="1"/>
  <c r="J1621" i="17"/>
  <c r="J1622" i="17"/>
  <c r="J1623" i="17"/>
  <c r="J1624" i="17"/>
  <c r="J1626" i="17"/>
  <c r="K1626" i="17" s="1"/>
  <c r="J1631" i="17"/>
  <c r="J1633" i="17"/>
  <c r="K1633" i="17" s="1"/>
  <c r="J1634" i="17"/>
  <c r="K1634" i="17" s="1"/>
  <c r="J1635" i="17"/>
  <c r="J1638" i="17"/>
  <c r="J1639" i="17"/>
  <c r="K1639" i="17" s="1"/>
  <c r="J1640" i="17"/>
  <c r="K1640" i="17" s="1"/>
  <c r="J1641" i="17"/>
  <c r="J1644" i="17"/>
  <c r="J1645" i="17"/>
  <c r="K1645" i="17" s="1"/>
  <c r="J1646" i="17"/>
  <c r="K1646" i="17" s="1"/>
  <c r="J1647" i="17"/>
  <c r="J1648" i="17"/>
  <c r="J1649" i="17"/>
  <c r="K1649" i="17" s="1"/>
  <c r="J1650" i="17"/>
  <c r="K1650" i="17" s="1"/>
  <c r="J1651" i="17"/>
  <c r="J1653" i="17"/>
  <c r="K1653" i="17" s="1"/>
  <c r="J1654" i="17"/>
  <c r="J1656" i="17"/>
  <c r="J1659" i="17"/>
  <c r="J1661" i="17"/>
  <c r="J1662" i="17"/>
  <c r="K1662" i="17" s="1"/>
  <c r="J1663" i="17"/>
  <c r="J1664" i="17"/>
  <c r="K1664" i="17" s="1"/>
  <c r="J1665" i="17"/>
  <c r="J1667" i="17"/>
  <c r="J1668" i="17"/>
  <c r="K1668" i="17" s="1"/>
  <c r="J1669" i="17"/>
  <c r="J1670" i="17"/>
  <c r="K1670" i="17" s="1"/>
  <c r="J1671" i="17"/>
  <c r="J1672" i="17"/>
  <c r="K1672" i="17" s="1"/>
  <c r="J1673" i="17"/>
  <c r="J1674" i="17"/>
  <c r="J1675" i="17"/>
  <c r="J1676" i="17"/>
  <c r="J1678" i="17"/>
  <c r="K1678" i="17" s="1"/>
  <c r="J1681" i="17"/>
  <c r="J1684" i="17"/>
  <c r="J1687" i="17"/>
  <c r="K1687" i="17" s="1"/>
  <c r="J1688" i="17"/>
  <c r="J1691" i="17"/>
  <c r="J1692" i="17"/>
  <c r="J1693" i="17"/>
  <c r="K1693" i="17" s="1"/>
  <c r="J1694" i="17"/>
  <c r="K1694" i="17" s="1"/>
  <c r="J1695" i="17"/>
  <c r="J1698" i="17"/>
  <c r="J1699" i="17"/>
  <c r="K1699" i="17" s="1"/>
  <c r="J1700" i="17"/>
  <c r="K1700" i="17" s="1"/>
  <c r="J1701" i="17"/>
  <c r="J1702" i="17"/>
  <c r="J1703" i="17"/>
  <c r="K1703" i="17" s="1"/>
  <c r="J1704" i="17"/>
  <c r="K1704" i="17" s="1"/>
  <c r="J1705" i="17"/>
  <c r="J1707" i="17"/>
  <c r="K1707" i="17" s="1"/>
  <c r="J1708" i="17"/>
  <c r="J1710" i="17"/>
  <c r="J1711" i="17"/>
  <c r="K1711" i="17" s="1"/>
  <c r="J1713" i="17"/>
  <c r="J1715" i="17"/>
  <c r="K1715" i="17" s="1"/>
  <c r="J1716" i="17"/>
  <c r="K1716" i="17" s="1"/>
  <c r="J1717" i="17"/>
  <c r="K1717" i="17" s="1"/>
  <c r="J1718" i="17"/>
  <c r="K1718" i="17" s="1"/>
  <c r="J1719" i="17"/>
  <c r="J1720" i="17"/>
  <c r="K1720" i="17" s="1"/>
  <c r="J1721" i="17"/>
  <c r="J1722" i="17"/>
  <c r="K1722" i="17" s="1"/>
  <c r="J1723" i="17"/>
  <c r="J1725" i="17"/>
  <c r="J1726" i="17"/>
  <c r="K1726" i="17" s="1"/>
  <c r="J1727" i="17"/>
  <c r="J1728" i="17"/>
  <c r="K1728" i="17" s="1"/>
  <c r="J1729" i="17"/>
  <c r="J1730" i="17"/>
  <c r="K1730" i="17" s="1"/>
  <c r="J1731" i="17"/>
  <c r="J1732" i="17"/>
  <c r="J1733" i="17"/>
  <c r="J1734" i="17"/>
  <c r="J1735" i="17"/>
  <c r="J1736" i="17"/>
  <c r="J1737" i="17"/>
  <c r="J1738" i="17"/>
  <c r="K1738" i="17" s="1"/>
  <c r="J1739" i="17"/>
  <c r="J1740" i="17"/>
  <c r="J1741" i="17"/>
  <c r="J1742" i="17"/>
  <c r="J1744" i="17"/>
  <c r="J1746" i="17"/>
  <c r="K1746" i="17" s="1"/>
  <c r="J1748" i="17"/>
  <c r="K1748" i="17" s="1"/>
  <c r="J1749" i="17"/>
  <c r="K1749" i="17" s="1"/>
  <c r="J1750" i="17"/>
  <c r="K1750" i="17" s="1"/>
  <c r="J1751" i="17"/>
  <c r="K1751" i="17" s="1"/>
  <c r="J1752" i="17"/>
  <c r="J1753" i="17"/>
  <c r="J1754" i="17"/>
  <c r="K1754" i="17" s="1"/>
  <c r="J1755" i="17"/>
  <c r="J1756" i="17"/>
  <c r="J1757" i="17"/>
  <c r="J1758" i="17"/>
  <c r="K1758" i="17" s="1"/>
  <c r="J1759" i="17"/>
  <c r="J1763" i="17"/>
  <c r="J1809" i="17"/>
  <c r="J1810" i="17"/>
  <c r="J1811" i="17"/>
  <c r="J1844" i="17"/>
  <c r="J1851" i="17"/>
  <c r="J1854" i="17"/>
  <c r="J1878" i="17"/>
  <c r="J1879" i="17"/>
  <c r="J1902" i="17"/>
  <c r="J1903" i="17"/>
  <c r="J1910" i="17"/>
  <c r="J1913" i="17"/>
  <c r="G8" i="12"/>
  <c r="G9" i="12"/>
  <c r="H9" i="12" s="1"/>
  <c r="G10" i="12"/>
  <c r="H10" i="12" s="1"/>
  <c r="G11" i="12"/>
  <c r="G12" i="12"/>
  <c r="G13" i="12"/>
  <c r="G14" i="12"/>
  <c r="G15" i="12"/>
  <c r="G16" i="12"/>
  <c r="G17" i="12"/>
  <c r="H17" i="12" s="1"/>
  <c r="G18" i="12"/>
  <c r="H18" i="12" s="1"/>
  <c r="G19" i="12"/>
  <c r="H19" i="12" s="1"/>
  <c r="G20" i="12"/>
  <c r="G21" i="12"/>
  <c r="G22" i="12"/>
  <c r="G23" i="12"/>
  <c r="H23" i="12" s="1"/>
  <c r="G24" i="12"/>
  <c r="G26" i="12"/>
  <c r="H26" i="12" s="1"/>
  <c r="G28" i="12"/>
  <c r="H28" i="12" s="1"/>
  <c r="G29" i="12"/>
  <c r="G30" i="12"/>
  <c r="G31" i="12"/>
  <c r="G32" i="12"/>
  <c r="G33" i="12"/>
  <c r="G34" i="12"/>
  <c r="G35" i="12"/>
  <c r="G36" i="12"/>
  <c r="G37" i="12"/>
  <c r="G38" i="12"/>
  <c r="G39" i="12"/>
  <c r="G40" i="12"/>
  <c r="G44" i="12"/>
  <c r="H44" i="12" s="1"/>
  <c r="G45" i="12"/>
  <c r="H45" i="12" s="1"/>
  <c r="G46" i="12"/>
  <c r="H46" i="12" s="1"/>
  <c r="G47" i="12"/>
  <c r="G49" i="12"/>
  <c r="G50" i="12"/>
  <c r="G52" i="12"/>
  <c r="H52" i="12" s="1"/>
  <c r="G53" i="12"/>
  <c r="G56" i="12"/>
  <c r="G58" i="12"/>
  <c r="H58" i="12" s="1"/>
  <c r="G59" i="12"/>
  <c r="H59" i="12" s="1"/>
  <c r="G60" i="12"/>
  <c r="H60" i="12" s="1"/>
  <c r="G61" i="12"/>
  <c r="H61" i="12" s="1"/>
  <c r="G62" i="12"/>
  <c r="H62" i="12" s="1"/>
  <c r="G63" i="12"/>
  <c r="H63" i="12" s="1"/>
  <c r="G64" i="12"/>
  <c r="H64" i="12" s="1"/>
  <c r="G65" i="12"/>
  <c r="G66" i="12"/>
  <c r="G67" i="12"/>
  <c r="G68" i="12"/>
  <c r="G69" i="12"/>
  <c r="G71" i="12"/>
  <c r="H71" i="12" s="1"/>
  <c r="G72" i="12"/>
  <c r="H72" i="12" s="1"/>
  <c r="G73" i="12"/>
  <c r="H73" i="12" s="1"/>
  <c r="G74" i="12"/>
  <c r="H74" i="12" s="1"/>
  <c r="G75" i="12"/>
  <c r="G77" i="12"/>
  <c r="H77" i="12" s="1"/>
  <c r="G78" i="12"/>
  <c r="G80" i="12"/>
  <c r="H80" i="12" s="1"/>
  <c r="G81" i="12"/>
  <c r="H81" i="12" s="1"/>
  <c r="G82" i="12"/>
  <c r="H82" i="12" s="1"/>
  <c r="G83" i="12"/>
  <c r="H83" i="12" s="1"/>
  <c r="G84" i="12"/>
  <c r="H84" i="12" s="1"/>
  <c r="G85" i="12"/>
  <c r="G86" i="12"/>
  <c r="G88" i="12"/>
  <c r="H88" i="12" s="1"/>
  <c r="G89" i="12"/>
  <c r="H89" i="12" s="1"/>
  <c r="G91" i="12"/>
  <c r="H91" i="12" s="1"/>
  <c r="G92" i="12"/>
  <c r="H92" i="12" s="1"/>
  <c r="G93" i="12"/>
  <c r="H93" i="12" s="1"/>
  <c r="G94" i="12"/>
  <c r="H94" i="12" s="1"/>
  <c r="G95" i="12"/>
  <c r="G96" i="12"/>
  <c r="G97" i="12"/>
  <c r="G99" i="12"/>
  <c r="H99" i="12" s="1"/>
  <c r="G100" i="12"/>
  <c r="H100" i="12" s="1"/>
  <c r="G101" i="12"/>
  <c r="H101" i="12" s="1"/>
  <c r="G102" i="12"/>
  <c r="G104" i="12"/>
  <c r="H104" i="12" s="1"/>
  <c r="G105" i="12"/>
  <c r="H105" i="12" s="1"/>
  <c r="G106" i="12"/>
  <c r="G108" i="12"/>
  <c r="G110" i="12"/>
  <c r="H110" i="12" s="1"/>
  <c r="G111" i="12"/>
  <c r="G113" i="12"/>
  <c r="H113" i="12" s="1"/>
  <c r="G115" i="12"/>
  <c r="H115" i="12" s="1"/>
  <c r="G116" i="12"/>
  <c r="G118" i="12"/>
  <c r="H118" i="12" s="1"/>
  <c r="G119" i="12"/>
  <c r="H119" i="12" s="1"/>
  <c r="G120" i="12"/>
  <c r="G121" i="12"/>
  <c r="G122" i="12"/>
  <c r="G123" i="12"/>
  <c r="H123" i="12" s="1"/>
  <c r="G124" i="12"/>
  <c r="H124" i="12" s="1"/>
  <c r="G125" i="12"/>
  <c r="H125" i="12" s="1"/>
  <c r="G126" i="12"/>
  <c r="G128" i="12"/>
  <c r="G129" i="12"/>
  <c r="G130" i="12"/>
  <c r="G131" i="12"/>
  <c r="G132" i="12"/>
  <c r="G134" i="12"/>
  <c r="G135" i="12"/>
  <c r="G136" i="12"/>
  <c r="G137" i="12"/>
  <c r="G7" i="4"/>
  <c r="H7" i="4" s="1"/>
  <c r="G8" i="4"/>
  <c r="H8" i="4"/>
  <c r="G9" i="4"/>
  <c r="G13" i="4"/>
  <c r="H13" i="4" s="1"/>
  <c r="G18" i="4"/>
  <c r="G21" i="4"/>
  <c r="G22" i="4"/>
  <c r="G24" i="4"/>
  <c r="H24" i="4" s="1"/>
  <c r="G25" i="4"/>
  <c r="H25" i="4" s="1"/>
  <c r="I25" i="4"/>
  <c r="J25" i="4" s="1"/>
  <c r="G26" i="4"/>
  <c r="H26" i="4" s="1"/>
  <c r="I26" i="4"/>
  <c r="J26" i="4" s="1"/>
  <c r="G27" i="4"/>
  <c r="H27" i="4" s="1"/>
  <c r="I27" i="4"/>
  <c r="J27" i="4" s="1"/>
  <c r="G29" i="4"/>
  <c r="H29" i="4" s="1"/>
  <c r="G31" i="4"/>
  <c r="H31" i="4" s="1"/>
  <c r="G32" i="4"/>
  <c r="G35" i="4"/>
  <c r="H35" i="4" s="1"/>
  <c r="I35" i="4"/>
  <c r="J35" i="4" s="1"/>
  <c r="G36" i="4"/>
  <c r="H36" i="4" s="1"/>
  <c r="I36" i="4"/>
  <c r="J36" i="4" s="1"/>
  <c r="G38" i="4"/>
  <c r="H38" i="4" s="1"/>
  <c r="I38" i="4"/>
  <c r="J38" i="4" s="1"/>
  <c r="G39" i="4"/>
  <c r="G40" i="4"/>
  <c r="G41" i="4"/>
  <c r="G44" i="4"/>
  <c r="H44" i="4" s="1"/>
  <c r="G45" i="4"/>
  <c r="H45" i="4" s="1"/>
  <c r="G46" i="4"/>
  <c r="G49" i="4"/>
  <c r="H49" i="4" s="1"/>
  <c r="G50" i="4"/>
  <c r="H50" i="4" s="1"/>
  <c r="G52" i="4"/>
  <c r="H52" i="4" s="1"/>
  <c r="G53" i="4"/>
  <c r="H53" i="4" s="1"/>
  <c r="G54" i="4"/>
  <c r="G56" i="4"/>
  <c r="G59" i="4"/>
  <c r="H59" i="4" s="1"/>
  <c r="I59" i="4"/>
  <c r="J59" i="4" s="1"/>
  <c r="G60" i="4"/>
  <c r="H60" i="4" s="1"/>
  <c r="G62" i="4"/>
  <c r="H62" i="4" s="1"/>
  <c r="G63" i="4"/>
  <c r="H63" i="4" s="1"/>
  <c r="G65" i="4"/>
  <c r="H65" i="4" s="1"/>
  <c r="G66" i="4"/>
  <c r="H66" i="4" s="1"/>
  <c r="G67" i="4"/>
  <c r="G70" i="4"/>
  <c r="H70" i="4" s="1"/>
  <c r="G71" i="4"/>
  <c r="H71" i="4" s="1"/>
  <c r="I71" i="4"/>
  <c r="J71" i="4" s="1"/>
  <c r="G72" i="4"/>
  <c r="H72" i="4" s="1"/>
  <c r="G73" i="4"/>
  <c r="H73" i="4" s="1"/>
  <c r="G74" i="4"/>
  <c r="H74" i="4" s="1"/>
  <c r="G75" i="4"/>
  <c r="H75" i="4" s="1"/>
  <c r="G76" i="4"/>
  <c r="H76" i="4" s="1"/>
  <c r="G78" i="4"/>
  <c r="H78" i="4" s="1"/>
  <c r="G79" i="4"/>
  <c r="H79" i="4" s="1"/>
  <c r="G80" i="4"/>
  <c r="G83" i="4"/>
  <c r="H83" i="4" s="1"/>
  <c r="G84" i="4"/>
  <c r="H84" i="4" s="1"/>
  <c r="I84" i="4"/>
  <c r="J84" i="4" s="1"/>
  <c r="G85" i="4"/>
  <c r="H85" i="4" s="1"/>
  <c r="I85" i="4"/>
  <c r="J85" i="4" s="1"/>
  <c r="G86" i="4"/>
  <c r="H86" i="4" s="1"/>
  <c r="I86" i="4"/>
  <c r="J86" i="4" s="1"/>
  <c r="G87" i="4"/>
  <c r="H87" i="4" s="1"/>
  <c r="I87" i="4"/>
  <c r="J87" i="4" s="1"/>
  <c r="G88" i="4"/>
  <c r="H88" i="4" s="1"/>
  <c r="I88" i="4"/>
  <c r="J88" i="4" s="1"/>
  <c r="G89" i="4"/>
  <c r="H89" i="4" s="1"/>
  <c r="I89" i="4"/>
  <c r="J89" i="4" s="1"/>
  <c r="G90" i="4"/>
  <c r="H90" i="4" s="1"/>
  <c r="I90" i="4"/>
  <c r="J90" i="4" s="1"/>
  <c r="G91" i="4"/>
  <c r="H91" i="4" s="1"/>
  <c r="I91" i="4"/>
  <c r="J91" i="4" s="1"/>
  <c r="G92" i="4"/>
  <c r="H92" i="4" s="1"/>
  <c r="I92" i="4"/>
  <c r="J92" i="4" s="1"/>
  <c r="G93" i="4"/>
  <c r="H93" i="4" s="1"/>
  <c r="I93" i="4"/>
  <c r="J93" i="4" s="1"/>
  <c r="G95" i="4"/>
  <c r="H95" i="4" s="1"/>
  <c r="G96" i="4"/>
  <c r="H96" i="4" s="1"/>
  <c r="G97" i="4"/>
  <c r="G100" i="4"/>
  <c r="H100" i="4" s="1"/>
  <c r="G101" i="4"/>
  <c r="H101" i="4" s="1"/>
  <c r="G103" i="4"/>
  <c r="H103" i="4" s="1"/>
  <c r="G104" i="4"/>
  <c r="G107" i="4"/>
  <c r="H107" i="4" s="1"/>
  <c r="I107" i="4"/>
  <c r="J107" i="4" s="1"/>
  <c r="G108" i="4"/>
  <c r="H108" i="4" s="1"/>
  <c r="I108" i="4"/>
  <c r="J108" i="4"/>
  <c r="G109" i="4"/>
  <c r="H109" i="4"/>
  <c r="I109" i="4"/>
  <c r="J109" i="4"/>
  <c r="G110" i="4"/>
  <c r="H110" i="4"/>
  <c r="I110" i="4"/>
  <c r="J110" i="4"/>
  <c r="G111" i="4"/>
  <c r="H111" i="4"/>
  <c r="I111" i="4"/>
  <c r="G112" i="4"/>
  <c r="H112" i="4" s="1"/>
  <c r="I112" i="4"/>
  <c r="J112" i="4" s="1"/>
  <c r="G113" i="4"/>
  <c r="H113" i="4" s="1"/>
  <c r="I113" i="4"/>
  <c r="J113" i="4" s="1"/>
  <c r="G115" i="4"/>
  <c r="H115" i="4" s="1"/>
  <c r="G116" i="4"/>
  <c r="H116" i="4" s="1"/>
  <c r="G117" i="4"/>
  <c r="G120" i="4"/>
  <c r="H120" i="4" s="1"/>
  <c r="G121" i="4"/>
  <c r="H121" i="4" s="1"/>
  <c r="G123" i="4"/>
  <c r="H123" i="4" s="1"/>
  <c r="G124" i="4"/>
  <c r="H124" i="4" s="1"/>
  <c r="G125" i="4"/>
  <c r="G127" i="4"/>
  <c r="G130" i="4"/>
  <c r="H130" i="4" s="1"/>
  <c r="G132" i="4"/>
  <c r="H132" i="4" s="1"/>
  <c r="G134" i="4"/>
  <c r="H134" i="4" s="1"/>
  <c r="G135" i="4"/>
  <c r="H135" i="4" s="1"/>
  <c r="G137" i="4"/>
  <c r="H137" i="4" s="1"/>
  <c r="I137" i="4"/>
  <c r="J137" i="4" s="1"/>
  <c r="G138" i="4"/>
  <c r="G141" i="4"/>
  <c r="H141" i="4" s="1"/>
  <c r="G142" i="4"/>
  <c r="H142" i="4" s="1"/>
  <c r="G143" i="4"/>
  <c r="H143" i="4" s="1"/>
  <c r="G145" i="4"/>
  <c r="H145" i="4" s="1"/>
  <c r="G147" i="4"/>
  <c r="G148" i="4"/>
  <c r="G151" i="4"/>
  <c r="H151" i="4" s="1"/>
  <c r="G152" i="4"/>
  <c r="H152" i="4" s="1"/>
  <c r="G153" i="4"/>
  <c r="H153" i="4" s="1"/>
  <c r="G155" i="4"/>
  <c r="H155" i="4" s="1"/>
  <c r="G156" i="4"/>
  <c r="H156" i="4"/>
  <c r="G157" i="4"/>
  <c r="G160" i="4"/>
  <c r="H160" i="4" s="1"/>
  <c r="G161" i="4"/>
  <c r="H161" i="4" s="1"/>
  <c r="G162" i="4"/>
  <c r="H162" i="4" s="1"/>
  <c r="G163" i="4"/>
  <c r="G166" i="4"/>
  <c r="H166" i="4" s="1"/>
  <c r="I166" i="4"/>
  <c r="J166" i="4" s="1"/>
  <c r="G167" i="4"/>
  <c r="H167" i="4" s="1"/>
  <c r="I167" i="4"/>
  <c r="J167" i="4" s="1"/>
  <c r="G168" i="4"/>
  <c r="H168" i="4" s="1"/>
  <c r="G170" i="4"/>
  <c r="G171" i="4"/>
  <c r="G173" i="4"/>
  <c r="H173" i="4" s="1"/>
  <c r="I173" i="4"/>
  <c r="J173" i="4" s="1"/>
  <c r="G174" i="4"/>
  <c r="G177" i="4"/>
  <c r="H177" i="4" s="1"/>
  <c r="I177" i="4"/>
  <c r="J177" i="4" s="1"/>
  <c r="G178" i="4"/>
  <c r="H178" i="4" s="1"/>
  <c r="I178" i="4"/>
  <c r="J178" i="4" s="1"/>
  <c r="G179" i="4"/>
  <c r="H179" i="4" s="1"/>
  <c r="I179" i="4"/>
  <c r="J179" i="4" s="1"/>
  <c r="G180" i="4"/>
  <c r="H180" i="4" s="1"/>
  <c r="I180" i="4"/>
  <c r="J180" i="4" s="1"/>
  <c r="G182" i="4"/>
  <c r="H182" i="4" s="1"/>
  <c r="I182" i="4"/>
  <c r="J182" i="4" s="1"/>
  <c r="G183" i="4"/>
  <c r="G186" i="4"/>
  <c r="H186" i="4" s="1"/>
  <c r="G187" i="4"/>
  <c r="H187" i="4" s="1"/>
  <c r="G188" i="4"/>
  <c r="H188" i="4" s="1"/>
  <c r="G189" i="4"/>
  <c r="H189" i="4" s="1"/>
  <c r="G191" i="4"/>
  <c r="H191" i="4" s="1"/>
  <c r="G192" i="4"/>
  <c r="G195" i="4"/>
  <c r="H195" i="4" s="1"/>
  <c r="G196" i="4"/>
  <c r="H196" i="4" s="1"/>
  <c r="G197" i="4"/>
  <c r="H197" i="4" s="1"/>
  <c r="G198" i="4"/>
  <c r="H198" i="4" s="1"/>
  <c r="G200" i="4"/>
  <c r="H200" i="4" s="1"/>
  <c r="G201" i="4"/>
  <c r="H201" i="4" s="1"/>
  <c r="G202" i="4"/>
  <c r="G205" i="4"/>
  <c r="H205" i="4" s="1"/>
  <c r="G206" i="4"/>
  <c r="H206" i="4" s="1"/>
  <c r="G207" i="4"/>
  <c r="H207" i="4" s="1"/>
  <c r="G209" i="4"/>
  <c r="H209" i="4" s="1"/>
  <c r="G210" i="4"/>
  <c r="H210" i="4" s="1"/>
  <c r="G212" i="4"/>
  <c r="H212" i="4" s="1"/>
  <c r="G213" i="4"/>
  <c r="G216" i="4"/>
  <c r="H216" i="4" s="1"/>
  <c r="I216" i="4"/>
  <c r="J216" i="4" s="1"/>
  <c r="G217" i="4"/>
  <c r="H217" i="4" s="1"/>
  <c r="I217" i="4"/>
  <c r="J217" i="4" s="1"/>
  <c r="G218" i="4"/>
  <c r="H218" i="4" s="1"/>
  <c r="I218" i="4"/>
  <c r="J218" i="4" s="1"/>
  <c r="G220" i="4"/>
  <c r="H220" i="4" s="1"/>
  <c r="I220" i="4"/>
  <c r="J220" i="4" s="1"/>
  <c r="G221" i="4"/>
  <c r="H221" i="4" s="1"/>
  <c r="I221" i="4"/>
  <c r="J221" i="4" s="1"/>
  <c r="G223" i="4"/>
  <c r="H223" i="4" s="1"/>
  <c r="I223" i="4"/>
  <c r="J223" i="4" s="1"/>
  <c r="G225" i="4"/>
  <c r="H225" i="4" s="1"/>
  <c r="I225" i="4"/>
  <c r="J225" i="4" s="1"/>
  <c r="G226" i="4"/>
  <c r="I226" i="4"/>
  <c r="G229" i="4"/>
  <c r="H229" i="4" s="1"/>
  <c r="G230" i="4"/>
  <c r="H230" i="4" s="1"/>
  <c r="G231" i="4"/>
  <c r="H231" i="4" s="1"/>
  <c r="G233" i="4"/>
  <c r="H233" i="4" s="1"/>
  <c r="G234" i="4"/>
  <c r="H234" i="4" s="1"/>
  <c r="G236" i="4"/>
  <c r="H236" i="4" s="1"/>
  <c r="G237" i="4"/>
  <c r="G240" i="4"/>
  <c r="H240" i="4" s="1"/>
  <c r="I240" i="4"/>
  <c r="J240" i="4" s="1"/>
  <c r="G241" i="4"/>
  <c r="H241" i="4" s="1"/>
  <c r="I241" i="4"/>
  <c r="J241" i="4" s="1"/>
  <c r="G242" i="4"/>
  <c r="H242" i="4" s="1"/>
  <c r="I242" i="4"/>
  <c r="J242" i="4" s="1"/>
  <c r="G244" i="4"/>
  <c r="H244" i="4" s="1"/>
  <c r="I244" i="4"/>
  <c r="J244" i="4" s="1"/>
  <c r="G245" i="4"/>
  <c r="H245" i="4" s="1"/>
  <c r="I245" i="4"/>
  <c r="J245" i="4" s="1"/>
  <c r="G246" i="4"/>
  <c r="H246" i="4" s="1"/>
  <c r="I246" i="4"/>
  <c r="G247" i="4"/>
  <c r="H247" i="4" s="1"/>
  <c r="I247" i="4"/>
  <c r="G248" i="4"/>
  <c r="G251" i="4"/>
  <c r="H251" i="4" s="1"/>
  <c r="G252" i="4"/>
  <c r="H252" i="4" s="1"/>
  <c r="G253" i="4"/>
  <c r="H253" i="4" s="1"/>
  <c r="G255" i="4"/>
  <c r="H255" i="4" s="1"/>
  <c r="G256" i="4"/>
  <c r="H256" i="4" s="1"/>
  <c r="G258" i="4"/>
  <c r="H258" i="4" s="1"/>
  <c r="G259" i="4"/>
  <c r="G262" i="4"/>
  <c r="H262" i="4" s="1"/>
  <c r="G263" i="4"/>
  <c r="G266" i="4"/>
  <c r="H266" i="4" s="1"/>
  <c r="G267" i="4"/>
  <c r="H267" i="4" s="1"/>
  <c r="G268" i="4"/>
  <c r="H268" i="4" s="1"/>
  <c r="G270" i="4"/>
  <c r="H270" i="4" s="1"/>
  <c r="G271" i="4"/>
  <c r="H271" i="4" s="1"/>
  <c r="G273" i="4"/>
  <c r="H273" i="4" s="1"/>
  <c r="G274" i="4"/>
  <c r="G276" i="4"/>
  <c r="G279" i="4"/>
  <c r="H279" i="4" s="1"/>
  <c r="G280" i="4"/>
  <c r="H280" i="4" s="1"/>
  <c r="G281" i="4"/>
  <c r="H281" i="4" s="1"/>
  <c r="G283" i="4"/>
  <c r="H283" i="4" s="1"/>
  <c r="G284" i="4"/>
  <c r="G285" i="4"/>
  <c r="G286" i="4"/>
  <c r="G289" i="4"/>
  <c r="H289" i="4" s="1"/>
  <c r="G290" i="4"/>
  <c r="H290" i="4" s="1"/>
  <c r="G291" i="4"/>
  <c r="H291" i="4" s="1"/>
  <c r="G292" i="4"/>
  <c r="H292" i="4" s="1"/>
  <c r="G293" i="4"/>
  <c r="H293" i="4" s="1"/>
  <c r="G295" i="4"/>
  <c r="H295" i="4" s="1"/>
  <c r="G296" i="4"/>
  <c r="H296" i="4" s="1"/>
  <c r="G298" i="4"/>
  <c r="G299" i="4"/>
  <c r="G302" i="4"/>
  <c r="H302" i="4" s="1"/>
  <c r="G303" i="4"/>
  <c r="H303" i="4" s="1"/>
  <c r="G304" i="4"/>
  <c r="G305" i="4"/>
  <c r="G306" i="4"/>
  <c r="G309" i="4"/>
  <c r="H309" i="4" s="1"/>
  <c r="G310" i="4"/>
  <c r="H310" i="4" s="1"/>
  <c r="G311" i="4"/>
  <c r="H311" i="4" s="1"/>
  <c r="G312" i="4"/>
  <c r="H312" i="4" s="1"/>
  <c r="G313" i="4"/>
  <c r="G315" i="4"/>
  <c r="H315" i="4" s="1"/>
  <c r="G317" i="4"/>
  <c r="H317" i="4" s="1"/>
  <c r="G319" i="4"/>
  <c r="H319" i="4" s="1"/>
  <c r="G320" i="4"/>
  <c r="G321" i="4"/>
  <c r="G324" i="4"/>
  <c r="H324" i="4" s="1"/>
  <c r="G326" i="4"/>
  <c r="H326" i="4" s="1"/>
  <c r="G327" i="4"/>
  <c r="H327" i="4" s="1"/>
  <c r="G329" i="4"/>
  <c r="G331" i="4"/>
  <c r="H331" i="4" s="1"/>
  <c r="G333" i="4"/>
  <c r="G334" i="4"/>
  <c r="G337" i="4"/>
  <c r="H337" i="4" s="1"/>
  <c r="G338" i="4"/>
  <c r="H338" i="4" s="1"/>
  <c r="G339" i="4"/>
  <c r="H339" i="4" s="1"/>
  <c r="G340" i="4"/>
  <c r="H340" i="4" s="1"/>
  <c r="G342" i="4"/>
  <c r="H342" i="4" s="1"/>
  <c r="G343" i="4"/>
  <c r="H343" i="4" s="1"/>
  <c r="G345" i="4"/>
  <c r="H345" i="4" s="1"/>
  <c r="G346" i="4"/>
  <c r="G349" i="4"/>
  <c r="H349" i="4" s="1"/>
  <c r="G350" i="4"/>
  <c r="H350" i="4" s="1"/>
  <c r="G351" i="4"/>
  <c r="H351" i="4" s="1"/>
  <c r="G353" i="4"/>
  <c r="H353" i="4" s="1"/>
  <c r="G354" i="4"/>
  <c r="G357" i="4"/>
  <c r="H357" i="4" s="1"/>
  <c r="G358" i="4"/>
  <c r="H358" i="4" s="1"/>
  <c r="G359" i="4"/>
  <c r="H359" i="4" s="1"/>
  <c r="G360" i="4"/>
  <c r="G363" i="4"/>
  <c r="G364" i="4"/>
  <c r="G365" i="4"/>
  <c r="G366" i="4"/>
  <c r="G369" i="4"/>
  <c r="H369" i="4" s="1"/>
  <c r="G370" i="4"/>
  <c r="H370" i="4" s="1"/>
  <c r="G371" i="4"/>
  <c r="H371" i="4" s="1"/>
  <c r="G373" i="4"/>
  <c r="H373" i="4" s="1"/>
  <c r="G374" i="4"/>
  <c r="H374" i="4" s="1"/>
  <c r="G375" i="4"/>
  <c r="H375" i="4" s="1"/>
  <c r="G377" i="4"/>
  <c r="H377" i="4" s="1"/>
  <c r="G378" i="4"/>
  <c r="G381" i="4"/>
  <c r="H381" i="4" s="1"/>
  <c r="G382" i="4"/>
  <c r="H382" i="4" s="1"/>
  <c r="G383" i="4"/>
  <c r="H383" i="4" s="1"/>
  <c r="G385" i="4"/>
  <c r="H385" i="4" s="1"/>
  <c r="G386" i="4"/>
  <c r="G388" i="4"/>
  <c r="G391" i="4"/>
  <c r="H391" i="4" s="1"/>
  <c r="G393" i="4"/>
  <c r="H393" i="4" s="1"/>
  <c r="G394" i="4"/>
  <c r="G395" i="4"/>
  <c r="H395" i="4" s="1"/>
  <c r="G397" i="4"/>
  <c r="H397" i="4" s="1"/>
  <c r="G399" i="4"/>
  <c r="G400" i="4"/>
  <c r="H400" i="4" s="1"/>
  <c r="G401" i="4"/>
  <c r="G404" i="4"/>
  <c r="H404" i="4" s="1"/>
  <c r="G405" i="4"/>
  <c r="H405" i="4" s="1"/>
  <c r="G406" i="4"/>
  <c r="H406" i="4" s="1"/>
  <c r="G407" i="4"/>
  <c r="H407" i="4" s="1"/>
  <c r="G409" i="4"/>
  <c r="H409" i="4" s="1"/>
  <c r="G410" i="4"/>
  <c r="H410" i="4" s="1"/>
  <c r="G412" i="4"/>
  <c r="H412" i="4" s="1"/>
  <c r="G414" i="4"/>
  <c r="H414" i="4" s="1"/>
  <c r="G415" i="4"/>
  <c r="H415" i="4" s="1"/>
  <c r="G416" i="4"/>
  <c r="G419" i="4"/>
  <c r="H419" i="4" s="1"/>
  <c r="G420" i="4"/>
  <c r="H420" i="4" s="1"/>
  <c r="G421" i="4"/>
  <c r="H421" i="4" s="1"/>
  <c r="G423" i="4"/>
  <c r="H423" i="4" s="1"/>
  <c r="G424" i="4"/>
  <c r="H424" i="4" s="1"/>
  <c r="G425" i="4"/>
  <c r="G428" i="4"/>
  <c r="H428" i="4" s="1"/>
  <c r="G429" i="4"/>
  <c r="H429" i="4" s="1"/>
  <c r="G430" i="4"/>
  <c r="H430" i="4" s="1"/>
  <c r="G431" i="4"/>
  <c r="H431" i="4" s="1"/>
  <c r="G433" i="4"/>
  <c r="H433" i="4" s="1"/>
  <c r="G434" i="4"/>
  <c r="H434" i="4" s="1"/>
  <c r="G435" i="4"/>
  <c r="G438" i="4"/>
  <c r="H438" i="4" s="1"/>
  <c r="G440" i="4"/>
  <c r="H440" i="4" s="1"/>
  <c r="G441" i="4"/>
  <c r="G443" i="4"/>
  <c r="G445" i="4"/>
  <c r="G446" i="4"/>
  <c r="G447" i="4"/>
  <c r="G449" i="4"/>
  <c r="G450" i="4"/>
  <c r="G452" i="4"/>
  <c r="G455" i="4"/>
  <c r="H455" i="4" s="1"/>
  <c r="G456" i="4"/>
  <c r="H456" i="4" s="1"/>
  <c r="G458" i="4"/>
  <c r="H458" i="4" s="1"/>
  <c r="G459" i="4"/>
  <c r="H459" i="4" s="1"/>
  <c r="G461" i="4"/>
  <c r="H461" i="4" s="1"/>
  <c r="G462" i="4"/>
  <c r="H462" i="4" s="1"/>
  <c r="G464" i="4"/>
  <c r="H464" i="4" s="1"/>
  <c r="G465" i="4"/>
  <c r="H465" i="4" s="1"/>
  <c r="G466" i="4"/>
  <c r="G469" i="4"/>
  <c r="H469" i="4" s="1"/>
  <c r="G471" i="4"/>
  <c r="H471" i="4" s="1"/>
  <c r="G472" i="4"/>
  <c r="G475" i="4"/>
  <c r="H475" i="4" s="1"/>
  <c r="G476" i="4"/>
  <c r="H476" i="4" s="1"/>
  <c r="G477" i="4"/>
  <c r="H477" i="4" s="1"/>
  <c r="G478" i="4"/>
  <c r="H478" i="4" s="1"/>
  <c r="G479" i="4"/>
  <c r="H479" i="4" s="1"/>
  <c r="G480" i="4"/>
  <c r="G482" i="4"/>
  <c r="G485" i="4"/>
  <c r="H485" i="4" s="1"/>
  <c r="G486" i="4"/>
  <c r="H486" i="4" s="1"/>
  <c r="G488" i="4"/>
  <c r="H488" i="4" s="1"/>
  <c r="G489" i="4"/>
  <c r="H489" i="4" s="1"/>
  <c r="G490" i="4"/>
  <c r="H490" i="4" s="1"/>
  <c r="G492" i="4"/>
  <c r="H492" i="4" s="1"/>
  <c r="G493" i="4"/>
  <c r="H493" i="4" s="1"/>
  <c r="G495" i="4"/>
  <c r="H495" i="4" s="1"/>
  <c r="G496" i="4"/>
  <c r="H496" i="4" s="1"/>
  <c r="G497" i="4"/>
  <c r="G500" i="4"/>
  <c r="H500" i="4" s="1"/>
  <c r="G501" i="4"/>
  <c r="H501" i="4" s="1"/>
  <c r="G502" i="4"/>
  <c r="H502" i="4" s="1"/>
  <c r="G503" i="4"/>
  <c r="H503" i="4" s="1"/>
  <c r="G504" i="4"/>
  <c r="H504" i="4" s="1"/>
  <c r="G505" i="4"/>
  <c r="G508" i="4"/>
  <c r="H508" i="4" s="1"/>
  <c r="G509" i="4"/>
  <c r="H509" i="4" s="1"/>
  <c r="G511" i="4"/>
  <c r="H511" i="4" s="1"/>
  <c r="G512" i="4"/>
  <c r="H512" i="4" s="1"/>
  <c r="G513" i="4"/>
  <c r="G516" i="4"/>
  <c r="H516" i="4" s="1"/>
  <c r="G517" i="4"/>
  <c r="H517" i="4" s="1"/>
  <c r="G518" i="4"/>
  <c r="H518" i="4" s="1"/>
  <c r="G519" i="4"/>
  <c r="H519" i="4" s="1"/>
  <c r="G521" i="4"/>
  <c r="H521" i="4" s="1"/>
  <c r="G522" i="4"/>
  <c r="H522" i="4" s="1"/>
  <c r="G523" i="4"/>
  <c r="H523" i="4" s="1"/>
  <c r="G524" i="4"/>
  <c r="G526" i="4"/>
  <c r="G529" i="4"/>
  <c r="H529" i="4" s="1"/>
  <c r="G530" i="4"/>
  <c r="H530" i="4" s="1"/>
  <c r="G532" i="4"/>
  <c r="H532" i="4" s="1"/>
  <c r="G533" i="4"/>
  <c r="H533" i="4" s="1"/>
  <c r="G534" i="4"/>
  <c r="H534" i="4" s="1"/>
  <c r="G536" i="4"/>
  <c r="H536" i="4" s="1"/>
  <c r="G537" i="4"/>
  <c r="H537" i="4" s="1"/>
  <c r="G539" i="4"/>
  <c r="H539" i="4" s="1"/>
  <c r="G540" i="4"/>
  <c r="H540" i="4" s="1"/>
  <c r="G541" i="4"/>
  <c r="G544" i="4"/>
  <c r="H544" i="4" s="1"/>
  <c r="G545" i="4"/>
  <c r="H545" i="4" s="1"/>
  <c r="G547" i="4"/>
  <c r="H547" i="4" s="1"/>
  <c r="G548" i="4"/>
  <c r="H548" i="4" s="1"/>
  <c r="G549" i="4"/>
  <c r="H549" i="4" s="1"/>
  <c r="G550" i="4"/>
  <c r="G552" i="4"/>
  <c r="G555" i="4"/>
  <c r="H555" i="4" s="1"/>
  <c r="G556" i="4"/>
  <c r="H556" i="4" s="1"/>
  <c r="G558" i="4"/>
  <c r="H558" i="4" s="1"/>
  <c r="G559" i="4"/>
  <c r="H559" i="4" s="1"/>
  <c r="G560" i="4"/>
  <c r="G562" i="4"/>
  <c r="H562" i="4" s="1"/>
  <c r="G563" i="4"/>
  <c r="H563" i="4" s="1"/>
  <c r="G565" i="4"/>
  <c r="H565" i="4" s="1"/>
  <c r="G566" i="4"/>
  <c r="G567" i="4"/>
  <c r="G570" i="4"/>
  <c r="H570" i="4" s="1"/>
  <c r="G572" i="4"/>
  <c r="H572" i="4" s="1"/>
  <c r="G573" i="4"/>
  <c r="H573" i="4" s="1"/>
  <c r="G574" i="4"/>
  <c r="G577" i="4"/>
  <c r="H577" i="4" s="1"/>
  <c r="G578" i="4"/>
  <c r="H578" i="4" s="1"/>
  <c r="G579" i="4"/>
  <c r="H579" i="4" s="1"/>
  <c r="G580" i="4"/>
  <c r="H580" i="4" s="1"/>
  <c r="G582" i="4"/>
  <c r="H582" i="4" s="1"/>
  <c r="G583" i="4"/>
  <c r="H583" i="4" s="1"/>
  <c r="G584" i="4"/>
  <c r="G587" i="4"/>
  <c r="H587" i="4" s="1"/>
  <c r="G588" i="4"/>
  <c r="H588" i="4" s="1"/>
  <c r="G589" i="4"/>
  <c r="H589" i="4" s="1"/>
  <c r="G590" i="4"/>
  <c r="G593" i="4"/>
  <c r="H593" i="4" s="1"/>
  <c r="G594" i="4"/>
  <c r="H594" i="4" s="1"/>
  <c r="G595" i="4"/>
  <c r="H595" i="4" s="1"/>
  <c r="G596" i="4"/>
  <c r="G599" i="4"/>
  <c r="H599" i="4" s="1"/>
  <c r="G600" i="4"/>
  <c r="H600" i="4" s="1"/>
  <c r="G602" i="4"/>
  <c r="H602" i="4" s="1"/>
  <c r="G603" i="4"/>
  <c r="H603" i="4" s="1"/>
  <c r="G604" i="4"/>
  <c r="G607" i="4"/>
  <c r="H607" i="4" s="1"/>
  <c r="G608" i="4"/>
  <c r="H608" i="4" s="1"/>
  <c r="G609" i="4"/>
  <c r="H609" i="4" s="1"/>
  <c r="G610" i="4"/>
  <c r="H610" i="4" s="1"/>
  <c r="G612" i="4"/>
  <c r="G613" i="4"/>
  <c r="G615" i="4"/>
  <c r="G618" i="4"/>
  <c r="H618" i="4" s="1"/>
  <c r="G619" i="4"/>
  <c r="H619" i="4" s="1"/>
  <c r="G621" i="4"/>
  <c r="H621" i="4" s="1"/>
  <c r="G622" i="4"/>
  <c r="H622" i="4" s="1"/>
  <c r="G624" i="4"/>
  <c r="H624" i="4" s="1"/>
  <c r="G625" i="4"/>
  <c r="H625" i="4" s="1"/>
  <c r="G627" i="4"/>
  <c r="H627" i="4" s="1"/>
  <c r="G628" i="4"/>
  <c r="H628" i="4" s="1"/>
  <c r="G629" i="4"/>
  <c r="G632" i="4"/>
  <c r="H632" i="4" s="1"/>
  <c r="G633" i="4"/>
  <c r="H633" i="4" s="1"/>
  <c r="G634" i="4"/>
  <c r="H634" i="4" s="1"/>
  <c r="G635" i="4"/>
  <c r="H635" i="4" s="1"/>
  <c r="G636" i="4"/>
  <c r="H636" i="4" s="1"/>
  <c r="G638" i="4"/>
  <c r="H638" i="4" s="1"/>
  <c r="G639" i="4"/>
  <c r="H639" i="4" s="1"/>
  <c r="G641" i="4"/>
  <c r="H641" i="4" s="1"/>
  <c r="G642" i="4"/>
  <c r="H642" i="4" s="1"/>
  <c r="G643" i="4"/>
  <c r="G644" i="4"/>
  <c r="G645" i="4"/>
  <c r="G648" i="4"/>
  <c r="H648" i="4" s="1"/>
  <c r="G649" i="4"/>
  <c r="H649" i="4" s="1"/>
  <c r="G650" i="4"/>
  <c r="H650" i="4" s="1"/>
  <c r="G651" i="4"/>
  <c r="H651" i="4" s="1"/>
  <c r="G652" i="4"/>
  <c r="H652" i="4" s="1"/>
  <c r="G653" i="4"/>
  <c r="H653" i="4" s="1"/>
  <c r="G654" i="4"/>
  <c r="G656" i="4"/>
  <c r="G659" i="4"/>
  <c r="H659" i="4" s="1"/>
  <c r="G661" i="4"/>
  <c r="H661" i="4" s="1"/>
  <c r="G663" i="4"/>
  <c r="H663" i="4" s="1"/>
  <c r="G664" i="4"/>
  <c r="H664" i="4" s="1"/>
  <c r="G666" i="4"/>
  <c r="H666" i="4" s="1"/>
  <c r="G667" i="4"/>
  <c r="H667" i="4" s="1"/>
  <c r="G669" i="4"/>
  <c r="H669" i="4" s="1"/>
  <c r="G671" i="4"/>
  <c r="H671" i="4" s="1"/>
  <c r="G672" i="4"/>
  <c r="H672" i="4" s="1"/>
  <c r="G673" i="4"/>
  <c r="H673" i="4" s="1"/>
  <c r="G674" i="4"/>
  <c r="G677" i="4"/>
  <c r="H677" i="4" s="1"/>
  <c r="G678" i="4"/>
  <c r="H678" i="4" s="1"/>
  <c r="G679" i="4"/>
  <c r="H679" i="4" s="1"/>
  <c r="G680" i="4"/>
  <c r="H680" i="4" s="1"/>
  <c r="G682" i="4"/>
  <c r="H682" i="4" s="1"/>
  <c r="G683" i="4"/>
  <c r="H683" i="4" s="1"/>
  <c r="G684" i="4"/>
  <c r="G687" i="4"/>
  <c r="H687" i="4" s="1"/>
  <c r="G688" i="4"/>
  <c r="H688" i="4" s="1"/>
  <c r="G689" i="4"/>
  <c r="H689" i="4" s="1"/>
  <c r="G691" i="4"/>
  <c r="H691" i="4" s="1"/>
  <c r="G692" i="4"/>
  <c r="H692" i="4" s="1"/>
  <c r="G693" i="4"/>
  <c r="H693" i="4" s="1"/>
  <c r="G694" i="4"/>
  <c r="G697" i="4"/>
  <c r="H697" i="4" s="1"/>
  <c r="G698" i="4"/>
  <c r="H698" i="4" s="1"/>
  <c r="G699" i="4"/>
  <c r="H699" i="4" s="1"/>
  <c r="G701" i="4"/>
  <c r="H701" i="4" s="1"/>
  <c r="G702" i="4"/>
  <c r="H702" i="4" s="1"/>
  <c r="G704" i="4"/>
  <c r="H704" i="4" s="1"/>
  <c r="G705" i="4"/>
  <c r="H705" i="4" s="1"/>
  <c r="G706" i="4"/>
  <c r="G708" i="4"/>
  <c r="G711" i="4"/>
  <c r="H711" i="4" s="1"/>
  <c r="G712" i="4"/>
  <c r="H712" i="4" s="1"/>
  <c r="G713" i="4"/>
  <c r="H713" i="4" s="1"/>
  <c r="G714" i="4"/>
  <c r="H714" i="4" s="1"/>
  <c r="G716" i="4"/>
  <c r="H716" i="4" s="1"/>
  <c r="G718" i="4"/>
  <c r="H718" i="4" s="1"/>
  <c r="G719" i="4"/>
  <c r="H719" i="4" s="1"/>
  <c r="G720" i="4"/>
  <c r="G723" i="4"/>
  <c r="H723" i="4" s="1"/>
  <c r="G724" i="4"/>
  <c r="H724" i="4" s="1"/>
  <c r="G725" i="4"/>
  <c r="H725" i="4" s="1"/>
  <c r="G726" i="4"/>
  <c r="H726" i="4" s="1"/>
  <c r="G727" i="4"/>
  <c r="H727" i="4" s="1"/>
  <c r="G729" i="4"/>
  <c r="H729" i="4" s="1"/>
  <c r="G731" i="4"/>
  <c r="H731" i="4" s="1"/>
  <c r="G732" i="4"/>
  <c r="H732" i="4" s="1"/>
  <c r="G733" i="4"/>
  <c r="H733" i="4" s="1"/>
  <c r="G734" i="4"/>
  <c r="H734" i="4" s="1"/>
  <c r="G735" i="4"/>
  <c r="H735" i="4" s="1"/>
  <c r="G736" i="4"/>
  <c r="G738" i="4"/>
  <c r="G741" i="4"/>
  <c r="H741" i="4" s="1"/>
  <c r="G742" i="4"/>
  <c r="H742" i="4" s="1"/>
  <c r="G744" i="4"/>
  <c r="H744" i="4" s="1"/>
  <c r="G745" i="4"/>
  <c r="H745" i="4" s="1"/>
  <c r="G747" i="4"/>
  <c r="H747" i="4" s="1"/>
  <c r="G748" i="4"/>
  <c r="H748" i="4" s="1"/>
  <c r="G749" i="4"/>
  <c r="H749" i="4" s="1"/>
  <c r="G751" i="4"/>
  <c r="H751" i="4" s="1"/>
  <c r="G752" i="4"/>
  <c r="H752" i="4" s="1"/>
  <c r="G753" i="4"/>
  <c r="G756" i="4"/>
  <c r="H756" i="4" s="1"/>
  <c r="G757" i="4"/>
  <c r="H757" i="4" s="1"/>
  <c r="G758" i="4"/>
  <c r="G761" i="4"/>
  <c r="H761" i="4" s="1"/>
  <c r="G762" i="4"/>
  <c r="H762" i="4" s="1"/>
  <c r="G764" i="4"/>
  <c r="H764" i="4" s="1"/>
  <c r="G765" i="4"/>
  <c r="G768" i="4"/>
  <c r="H768" i="4" s="1"/>
  <c r="G769" i="4"/>
  <c r="H769" i="4" s="1"/>
  <c r="G771" i="4"/>
  <c r="H771" i="4" s="1"/>
  <c r="G772" i="4"/>
  <c r="H772" i="4" s="1"/>
  <c r="G773" i="4"/>
  <c r="H773" i="4" s="1"/>
  <c r="G774" i="4"/>
  <c r="G777" i="4"/>
  <c r="H777" i="4"/>
  <c r="G778" i="4"/>
  <c r="H778" i="4" s="1"/>
  <c r="G780" i="4"/>
  <c r="H780" i="4" s="1"/>
  <c r="G781" i="4"/>
  <c r="G783" i="4"/>
  <c r="G784" i="4"/>
  <c r="F18" i="7" l="1"/>
  <c r="O8" i="6" l="1"/>
  <c r="G9" i="7" l="1"/>
  <c r="G11" i="7"/>
  <c r="H11" i="7" s="1"/>
  <c r="G12" i="7"/>
  <c r="G15" i="7"/>
  <c r="H15" i="7" s="1"/>
  <c r="G16" i="7"/>
  <c r="G18" i="7"/>
  <c r="H18" i="7" s="1"/>
  <c r="G19" i="7"/>
  <c r="G21" i="7"/>
  <c r="H21" i="7" s="1"/>
  <c r="G22" i="7"/>
  <c r="G24" i="7"/>
  <c r="H24" i="7" s="1"/>
  <c r="G25" i="7"/>
  <c r="H25" i="7" s="1"/>
  <c r="G26" i="7"/>
  <c r="H26" i="7" s="1"/>
  <c r="G27" i="7"/>
  <c r="H27" i="7" s="1"/>
  <c r="G28" i="7"/>
  <c r="G31" i="7"/>
  <c r="H31" i="7" s="1"/>
  <c r="G33" i="7"/>
  <c r="H33" i="7" s="1"/>
  <c r="G34" i="7"/>
  <c r="G36" i="7"/>
  <c r="G38" i="7"/>
  <c r="H38" i="7" s="1"/>
  <c r="G39" i="7"/>
  <c r="H39" i="7" s="1"/>
  <c r="G40" i="7"/>
  <c r="G43" i="7"/>
  <c r="H43" i="7" s="1"/>
  <c r="G44" i="7"/>
  <c r="H44" i="7" s="1"/>
  <c r="G45" i="7"/>
  <c r="G46" i="7"/>
  <c r="G47" i="7"/>
  <c r="G48" i="7"/>
  <c r="G49" i="7"/>
  <c r="G50" i="7"/>
  <c r="G51" i="7"/>
  <c r="G52" i="7"/>
  <c r="G53" i="7"/>
  <c r="H53" i="7" s="1"/>
  <c r="G54" i="7"/>
  <c r="G55" i="7"/>
  <c r="G56" i="7"/>
  <c r="G57" i="7"/>
  <c r="G58" i="7"/>
  <c r="H58" i="7" s="1"/>
  <c r="G59" i="7"/>
  <c r="G60" i="7"/>
  <c r="G61" i="7"/>
  <c r="G64" i="7"/>
  <c r="H64" i="7" s="1"/>
  <c r="G65" i="7"/>
  <c r="H65" i="7" s="1"/>
  <c r="G66" i="7"/>
  <c r="G69" i="7"/>
  <c r="H69" i="7" s="1"/>
  <c r="G70" i="7"/>
  <c r="H70" i="7" s="1"/>
  <c r="G72" i="7"/>
  <c r="G73" i="7"/>
  <c r="G74" i="7"/>
  <c r="G75" i="7"/>
  <c r="H75" i="7" s="1"/>
  <c r="G76" i="7"/>
  <c r="H76" i="7" s="1"/>
  <c r="G79" i="7"/>
  <c r="H79" i="7" s="1"/>
  <c r="G80" i="7"/>
  <c r="G81" i="7"/>
  <c r="G82" i="7"/>
  <c r="G85" i="7"/>
  <c r="H85" i="7" s="1"/>
  <c r="G87" i="7"/>
  <c r="G88" i="7"/>
  <c r="H88" i="7" s="1"/>
  <c r="G89" i="7"/>
  <c r="G92" i="7"/>
  <c r="G38" i="13"/>
  <c r="G35" i="13"/>
  <c r="G33" i="13"/>
  <c r="G31" i="13"/>
  <c r="G27" i="13"/>
  <c r="G26" i="13"/>
  <c r="G25" i="13"/>
  <c r="G20" i="13"/>
  <c r="G18" i="13"/>
  <c r="G16" i="13"/>
  <c r="G12" i="13"/>
  <c r="G10" i="13"/>
  <c r="G5" i="13"/>
  <c r="G24" i="5"/>
  <c r="G35" i="5"/>
  <c r="G37" i="5"/>
  <c r="G39" i="5"/>
  <c r="G40" i="5"/>
  <c r="G41" i="5"/>
  <c r="G42" i="5"/>
  <c r="G43" i="5"/>
  <c r="G44" i="5"/>
  <c r="G45" i="5"/>
  <c r="G50" i="5"/>
  <c r="G51" i="5"/>
  <c r="G53" i="5"/>
  <c r="G54" i="5"/>
  <c r="G55" i="5"/>
  <c r="G57" i="5"/>
  <c r="G58" i="5"/>
  <c r="G59" i="5"/>
  <c r="G61" i="5"/>
  <c r="G63" i="5"/>
  <c r="G65" i="5"/>
  <c r="H65" i="5" s="1"/>
  <c r="G66" i="5"/>
  <c r="H66" i="5"/>
  <c r="G67" i="5"/>
  <c r="G68" i="5"/>
  <c r="G69" i="5"/>
  <c r="G74" i="5"/>
  <c r="G76" i="5"/>
  <c r="H76" i="5" s="1"/>
  <c r="G77" i="5"/>
  <c r="H77" i="5" s="1"/>
  <c r="G78" i="5"/>
  <c r="G79" i="5"/>
  <c r="G81" i="5"/>
  <c r="G82" i="5"/>
  <c r="D6" i="13" l="1"/>
  <c r="D4" i="13"/>
  <c r="F6" i="11" l="1"/>
  <c r="F8" i="7"/>
  <c r="G8" i="7" s="1"/>
  <c r="H8" i="7" s="1"/>
  <c r="G52" i="5" l="1"/>
  <c r="H52" i="5" s="1"/>
  <c r="G33" i="5"/>
  <c r="J5" i="13"/>
  <c r="J10" i="13"/>
  <c r="J12" i="13"/>
  <c r="J16" i="13"/>
  <c r="J18" i="13"/>
  <c r="J20" i="13"/>
  <c r="J25" i="13"/>
  <c r="J26" i="13"/>
  <c r="J27" i="13"/>
  <c r="J31" i="13"/>
  <c r="J33" i="13"/>
  <c r="J35" i="13"/>
  <c r="J38" i="13"/>
  <c r="I12" i="13"/>
  <c r="G28" i="13"/>
  <c r="H28" i="13" s="1"/>
  <c r="G24" i="13" l="1"/>
  <c r="H24" i="13" s="1"/>
  <c r="G22" i="13" l="1"/>
  <c r="H22" i="13" s="1"/>
  <c r="G46" i="5" l="1"/>
  <c r="H46" i="5" s="1"/>
  <c r="G32" i="5"/>
  <c r="H32" i="5" s="1"/>
  <c r="H355" i="17" l="1"/>
  <c r="L355" i="17" s="1"/>
  <c r="M355" i="17" s="1"/>
  <c r="H356" i="17"/>
  <c r="L356" i="17" s="1"/>
  <c r="M356" i="17" s="1"/>
  <c r="H357" i="17"/>
  <c r="L357" i="17" s="1"/>
  <c r="H358" i="17"/>
  <c r="L358" i="17" s="1"/>
  <c r="L359" i="17"/>
  <c r="M359" i="17" s="1"/>
  <c r="L360" i="17"/>
  <c r="M360" i="17" s="1"/>
  <c r="F11" i="4" l="1"/>
  <c r="F12" i="4"/>
  <c r="H1941" i="17" l="1"/>
  <c r="H1940" i="17"/>
  <c r="H1939" i="17"/>
  <c r="H1938" i="17"/>
  <c r="H1937" i="17"/>
  <c r="H1936" i="17"/>
  <c r="H1935" i="17"/>
  <c r="H1934" i="17"/>
  <c r="H1933" i="17"/>
  <c r="H1932" i="17"/>
  <c r="H1931" i="17"/>
  <c r="H1930" i="17"/>
  <c r="H1929" i="17"/>
  <c r="H1928" i="17"/>
  <c r="H1913" i="17"/>
  <c r="L1913" i="17" s="1"/>
  <c r="H1910" i="17"/>
  <c r="L1910" i="17" s="1"/>
  <c r="H1903" i="17"/>
  <c r="L1903" i="17" s="1"/>
  <c r="H1902" i="17"/>
  <c r="L1902" i="17" s="1"/>
  <c r="H1879" i="17"/>
  <c r="L1879" i="17" s="1"/>
  <c r="H1878" i="17"/>
  <c r="L1878" i="17" s="1"/>
  <c r="H1854" i="17"/>
  <c r="L1854" i="17" s="1"/>
  <c r="H1851" i="17"/>
  <c r="L1851" i="17" s="1"/>
  <c r="H1844" i="17"/>
  <c r="L1844" i="17" s="1"/>
  <c r="H1811" i="17"/>
  <c r="L1811" i="17" s="1"/>
  <c r="H1810" i="17"/>
  <c r="L1810" i="17" s="1"/>
  <c r="H1809" i="17"/>
  <c r="L1809" i="17" s="1"/>
  <c r="H1763" i="17"/>
  <c r="L1763" i="17" s="1"/>
  <c r="H1759" i="17"/>
  <c r="L1759" i="17" s="1"/>
  <c r="H1758" i="17"/>
  <c r="L1758" i="17" s="1"/>
  <c r="M1758" i="17" s="1"/>
  <c r="H1757" i="17"/>
  <c r="L1757" i="17" s="1"/>
  <c r="H1756" i="17"/>
  <c r="H1839" i="17" s="1"/>
  <c r="L1839" i="17" s="1"/>
  <c r="M1839" i="17" s="1"/>
  <c r="H1755" i="17"/>
  <c r="L1755" i="17" s="1"/>
  <c r="H1754" i="17"/>
  <c r="L1754" i="17" s="1"/>
  <c r="M1754" i="17" s="1"/>
  <c r="H1753" i="17"/>
  <c r="L1753" i="17" s="1"/>
  <c r="H1752" i="17"/>
  <c r="L1752" i="17" s="1"/>
  <c r="H1751" i="17"/>
  <c r="L1751" i="17" s="1"/>
  <c r="M1751" i="17" s="1"/>
  <c r="H1750" i="17"/>
  <c r="L1750" i="17" s="1"/>
  <c r="M1750" i="17" s="1"/>
  <c r="H1749" i="17"/>
  <c r="L1749" i="17" s="1"/>
  <c r="M1749" i="17" s="1"/>
  <c r="H1748" i="17"/>
  <c r="L1748" i="17" s="1"/>
  <c r="M1748" i="17" s="1"/>
  <c r="H1746" i="17"/>
  <c r="L1746" i="17" s="1"/>
  <c r="M1746" i="17" s="1"/>
  <c r="H1744" i="17"/>
  <c r="L1744" i="17" s="1"/>
  <c r="H1742" i="17"/>
  <c r="L1742" i="17" s="1"/>
  <c r="H1741" i="17"/>
  <c r="L1741" i="17" s="1"/>
  <c r="H1740" i="17"/>
  <c r="L1740" i="17" s="1"/>
  <c r="H1739" i="17"/>
  <c r="L1739" i="17" s="1"/>
  <c r="H1738" i="17"/>
  <c r="L1738" i="17" s="1"/>
  <c r="M1738" i="17" s="1"/>
  <c r="H1737" i="17"/>
  <c r="L1737" i="17" s="1"/>
  <c r="H1736" i="17"/>
  <c r="L1736" i="17" s="1"/>
  <c r="H1735" i="17"/>
  <c r="L1735" i="17" s="1"/>
  <c r="M1735" i="17" s="1"/>
  <c r="H1734" i="17"/>
  <c r="L1734" i="17" s="1"/>
  <c r="H1733" i="17"/>
  <c r="L1733" i="17" s="1"/>
  <c r="M1733" i="17" s="1"/>
  <c r="H1732" i="17"/>
  <c r="L1732" i="17" s="1"/>
  <c r="M1732" i="17" s="1"/>
  <c r="H1731" i="17"/>
  <c r="L1731" i="17" s="1"/>
  <c r="H1730" i="17"/>
  <c r="L1730" i="17" s="1"/>
  <c r="M1730" i="17" s="1"/>
  <c r="H1729" i="17"/>
  <c r="L1729" i="17" s="1"/>
  <c r="H1728" i="17"/>
  <c r="L1728" i="17" s="1"/>
  <c r="M1728" i="17" s="1"/>
  <c r="H1727" i="17"/>
  <c r="L1727" i="17" s="1"/>
  <c r="H1726" i="17"/>
  <c r="L1726" i="17" s="1"/>
  <c r="M1726" i="17" s="1"/>
  <c r="H1725" i="17"/>
  <c r="L1725" i="17" s="1"/>
  <c r="H1723" i="17"/>
  <c r="L1723" i="17" s="1"/>
  <c r="H1722" i="17"/>
  <c r="L1722" i="17" s="1"/>
  <c r="M1722" i="17" s="1"/>
  <c r="H1721" i="17"/>
  <c r="L1721" i="17" s="1"/>
  <c r="H1720" i="17"/>
  <c r="L1720" i="17" s="1"/>
  <c r="M1720" i="17" s="1"/>
  <c r="H1719" i="17"/>
  <c r="L1719" i="17" s="1"/>
  <c r="H1718" i="17"/>
  <c r="L1718" i="17" s="1"/>
  <c r="M1718" i="17" s="1"/>
  <c r="H1717" i="17"/>
  <c r="L1717" i="17" s="1"/>
  <c r="M1717" i="17" s="1"/>
  <c r="H1716" i="17"/>
  <c r="L1716" i="17" s="1"/>
  <c r="M1716" i="17" s="1"/>
  <c r="H1715" i="17"/>
  <c r="L1715" i="17" s="1"/>
  <c r="M1715" i="17" s="1"/>
  <c r="H1713" i="17"/>
  <c r="L1713" i="17" s="1"/>
  <c r="H1711" i="17"/>
  <c r="L1711" i="17" s="1"/>
  <c r="M1711" i="17" s="1"/>
  <c r="H1710" i="17"/>
  <c r="L1710" i="17" s="1"/>
  <c r="H1708" i="17"/>
  <c r="L1708" i="17" s="1"/>
  <c r="H1707" i="17"/>
  <c r="L1707" i="17" s="1"/>
  <c r="M1707" i="17" s="1"/>
  <c r="H1705" i="17"/>
  <c r="L1705" i="17" s="1"/>
  <c r="H1704" i="17"/>
  <c r="L1704" i="17" s="1"/>
  <c r="M1704" i="17" s="1"/>
  <c r="H1703" i="17"/>
  <c r="L1703" i="17" s="1"/>
  <c r="M1703" i="17" s="1"/>
  <c r="H1702" i="17"/>
  <c r="L1702" i="17" s="1"/>
  <c r="H1701" i="17"/>
  <c r="L1701" i="17" s="1"/>
  <c r="H1700" i="17"/>
  <c r="L1700" i="17" s="1"/>
  <c r="M1700" i="17" s="1"/>
  <c r="H1699" i="17"/>
  <c r="L1699" i="17" s="1"/>
  <c r="M1699" i="17" s="1"/>
  <c r="H1698" i="17"/>
  <c r="L1698" i="17" s="1"/>
  <c r="H1695" i="17"/>
  <c r="L1695" i="17" s="1"/>
  <c r="H1694" i="17"/>
  <c r="L1694" i="17" s="1"/>
  <c r="M1694" i="17" s="1"/>
  <c r="H1693" i="17"/>
  <c r="L1693" i="17" s="1"/>
  <c r="M1693" i="17" s="1"/>
  <c r="H1692" i="17"/>
  <c r="L1692" i="17" s="1"/>
  <c r="H1691" i="17"/>
  <c r="L1691" i="17" s="1"/>
  <c r="H1688" i="17"/>
  <c r="L1688" i="17" s="1"/>
  <c r="H1687" i="17"/>
  <c r="L1687" i="17" s="1"/>
  <c r="M1687" i="17" s="1"/>
  <c r="H1684" i="17"/>
  <c r="L1684" i="17" s="1"/>
  <c r="H1681" i="17"/>
  <c r="L1681" i="17" s="1"/>
  <c r="M1681" i="17" s="1"/>
  <c r="H1678" i="17"/>
  <c r="L1678" i="17" s="1"/>
  <c r="M1678" i="17" s="1"/>
  <c r="H1676" i="17"/>
  <c r="L1676" i="17" s="1"/>
  <c r="H1675" i="17"/>
  <c r="L1675" i="17" s="1"/>
  <c r="H1674" i="17"/>
  <c r="L1674" i="17" s="1"/>
  <c r="H1673" i="17"/>
  <c r="L1673" i="17" s="1"/>
  <c r="H1672" i="17"/>
  <c r="L1672" i="17" s="1"/>
  <c r="M1672" i="17" s="1"/>
  <c r="H1671" i="17"/>
  <c r="L1671" i="17" s="1"/>
  <c r="H1670" i="17"/>
  <c r="L1670" i="17" s="1"/>
  <c r="M1670" i="17" s="1"/>
  <c r="H1669" i="17"/>
  <c r="L1669" i="17" s="1"/>
  <c r="H1668" i="17"/>
  <c r="L1668" i="17" s="1"/>
  <c r="M1668" i="17" s="1"/>
  <c r="H1667" i="17"/>
  <c r="L1667" i="17" s="1"/>
  <c r="H1665" i="17"/>
  <c r="L1665" i="17" s="1"/>
  <c r="H1664" i="17"/>
  <c r="L1664" i="17" s="1"/>
  <c r="M1664" i="17" s="1"/>
  <c r="H1663" i="17"/>
  <c r="L1663" i="17" s="1"/>
  <c r="H1662" i="17"/>
  <c r="L1662" i="17" s="1"/>
  <c r="M1662" i="17" s="1"/>
  <c r="H1661" i="17"/>
  <c r="L1661" i="17" s="1"/>
  <c r="H1659" i="17"/>
  <c r="L1659" i="17" s="1"/>
  <c r="H1656" i="17"/>
  <c r="L1656" i="17" s="1"/>
  <c r="H1654" i="17"/>
  <c r="L1654" i="17" s="1"/>
  <c r="H1653" i="17"/>
  <c r="L1653" i="17" s="1"/>
  <c r="M1653" i="17" s="1"/>
  <c r="H1651" i="17"/>
  <c r="L1651" i="17" s="1"/>
  <c r="H1650" i="17"/>
  <c r="L1650" i="17" s="1"/>
  <c r="M1650" i="17" s="1"/>
  <c r="H1649" i="17"/>
  <c r="L1649" i="17" s="1"/>
  <c r="M1649" i="17" s="1"/>
  <c r="H1648" i="17"/>
  <c r="L1648" i="17" s="1"/>
  <c r="H1647" i="17"/>
  <c r="L1647" i="17" s="1"/>
  <c r="H1646" i="17"/>
  <c r="L1646" i="17" s="1"/>
  <c r="M1646" i="17" s="1"/>
  <c r="H1645" i="17"/>
  <c r="L1645" i="17" s="1"/>
  <c r="M1645" i="17" s="1"/>
  <c r="H1644" i="17"/>
  <c r="L1644" i="17" s="1"/>
  <c r="H1641" i="17"/>
  <c r="L1641" i="17" s="1"/>
  <c r="H1640" i="17"/>
  <c r="L1640" i="17" s="1"/>
  <c r="M1640" i="17" s="1"/>
  <c r="H1639" i="17"/>
  <c r="L1639" i="17" s="1"/>
  <c r="M1639" i="17" s="1"/>
  <c r="H1638" i="17"/>
  <c r="L1638" i="17" s="1"/>
  <c r="H1635" i="17"/>
  <c r="L1635" i="17" s="1"/>
  <c r="H1634" i="17"/>
  <c r="L1634" i="17" s="1"/>
  <c r="M1634" i="17" s="1"/>
  <c r="H1633" i="17"/>
  <c r="L1633" i="17" s="1"/>
  <c r="M1633" i="17" s="1"/>
  <c r="H1631" i="17"/>
  <c r="L1631" i="17" s="1"/>
  <c r="H1626" i="17"/>
  <c r="L1626" i="17" s="1"/>
  <c r="M1626" i="17" s="1"/>
  <c r="H1624" i="17"/>
  <c r="L1624" i="17" s="1"/>
  <c r="H1623" i="17"/>
  <c r="L1623" i="17" s="1"/>
  <c r="H1622" i="17"/>
  <c r="L1622" i="17" s="1"/>
  <c r="H1621" i="17"/>
  <c r="L1621" i="17" s="1"/>
  <c r="H1620" i="17"/>
  <c r="L1620" i="17" s="1"/>
  <c r="M1620" i="17" s="1"/>
  <c r="H1619" i="17"/>
  <c r="L1619" i="17" s="1"/>
  <c r="H1618" i="17"/>
  <c r="L1618" i="17" s="1"/>
  <c r="M1618" i="17" s="1"/>
  <c r="H1617" i="17"/>
  <c r="L1617" i="17" s="1"/>
  <c r="M1617" i="17" s="1"/>
  <c r="H1616" i="17"/>
  <c r="L1616" i="17" s="1"/>
  <c r="H1615" i="17"/>
  <c r="L1615" i="17" s="1"/>
  <c r="M1615" i="17" s="1"/>
  <c r="H1614" i="17"/>
  <c r="L1614" i="17" s="1"/>
  <c r="H1613" i="17"/>
  <c r="L1613" i="17" s="1"/>
  <c r="M1613" i="17" s="1"/>
  <c r="H1612" i="17"/>
  <c r="L1612" i="17" s="1"/>
  <c r="H1611" i="17"/>
  <c r="L1611" i="17" s="1"/>
  <c r="M1611" i="17" s="1"/>
  <c r="H1609" i="17"/>
  <c r="L1609" i="17" s="1"/>
  <c r="H1608" i="17"/>
  <c r="L1608" i="17" s="1"/>
  <c r="M1608" i="17" s="1"/>
  <c r="H1607" i="17"/>
  <c r="L1607" i="17" s="1"/>
  <c r="H1606" i="17"/>
  <c r="L1606" i="17" s="1"/>
  <c r="M1606" i="17" s="1"/>
  <c r="H1605" i="17"/>
  <c r="L1605" i="17" s="1"/>
  <c r="H1603" i="17"/>
  <c r="L1603" i="17" s="1"/>
  <c r="H1602" i="17"/>
  <c r="L1602" i="17" s="1"/>
  <c r="M1602" i="17" s="1"/>
  <c r="H1601" i="17"/>
  <c r="L1601" i="17" s="1"/>
  <c r="M1601" i="17" s="1"/>
  <c r="H1600" i="17"/>
  <c r="L1600" i="17" s="1"/>
  <c r="H1598" i="17"/>
  <c r="L1598" i="17" s="1"/>
  <c r="H1597" i="17"/>
  <c r="L1597" i="17" s="1"/>
  <c r="M1597" i="17" s="1"/>
  <c r="H1595" i="17"/>
  <c r="L1595" i="17" s="1"/>
  <c r="H1594" i="17"/>
  <c r="L1594" i="17" s="1"/>
  <c r="M1594" i="17" s="1"/>
  <c r="H1593" i="17"/>
  <c r="L1593" i="17" s="1"/>
  <c r="M1593" i="17" s="1"/>
  <c r="H1592" i="17"/>
  <c r="L1592" i="17" s="1"/>
  <c r="H1591" i="17"/>
  <c r="L1591" i="17" s="1"/>
  <c r="H1590" i="17"/>
  <c r="L1590" i="17" s="1"/>
  <c r="M1590" i="17" s="1"/>
  <c r="H1589" i="17"/>
  <c r="L1589" i="17" s="1"/>
  <c r="M1589" i="17" s="1"/>
  <c r="H1588" i="17"/>
  <c r="L1588" i="17" s="1"/>
  <c r="H1587" i="17"/>
  <c r="L1587" i="17" s="1"/>
  <c r="H1586" i="17"/>
  <c r="L1586" i="17" s="1"/>
  <c r="M1586" i="17" s="1"/>
  <c r="H1585" i="17"/>
  <c r="L1585" i="17" s="1"/>
  <c r="M1585" i="17" s="1"/>
  <c r="H1584" i="17"/>
  <c r="L1584" i="17" s="1"/>
  <c r="H1582" i="17"/>
  <c r="L1582" i="17" s="1"/>
  <c r="H1581" i="17"/>
  <c r="L1581" i="17" s="1"/>
  <c r="M1581" i="17" s="1"/>
  <c r="H1580" i="17"/>
  <c r="L1580" i="17" s="1"/>
  <c r="M1580" i="17" s="1"/>
  <c r="H1579" i="17"/>
  <c r="L1579" i="17" s="1"/>
  <c r="H1577" i="17"/>
  <c r="L1577" i="17" s="1"/>
  <c r="H1576" i="17"/>
  <c r="L1576" i="17" s="1"/>
  <c r="M1576" i="17" s="1"/>
  <c r="H1575" i="17"/>
  <c r="L1575" i="17" s="1"/>
  <c r="M1575" i="17" s="1"/>
  <c r="H1574" i="17"/>
  <c r="L1574" i="17" s="1"/>
  <c r="H1572" i="17"/>
  <c r="L1572" i="17" s="1"/>
  <c r="H1570" i="17"/>
  <c r="L1570" i="17" s="1"/>
  <c r="H1569" i="17"/>
  <c r="L1569" i="17" s="1"/>
  <c r="M1569" i="17" s="1"/>
  <c r="H1568" i="17"/>
  <c r="L1568" i="17" s="1"/>
  <c r="M1568" i="17" s="1"/>
  <c r="H1567" i="17"/>
  <c r="L1567" i="17" s="1"/>
  <c r="H1564" i="17"/>
  <c r="L1564" i="17" s="1"/>
  <c r="H1563" i="17"/>
  <c r="L1563" i="17" s="1"/>
  <c r="M1563" i="17" s="1"/>
  <c r="H1562" i="17"/>
  <c r="L1562" i="17" s="1"/>
  <c r="M1562" i="17" s="1"/>
  <c r="H1560" i="17"/>
  <c r="L1560" i="17" s="1"/>
  <c r="H1557" i="17"/>
  <c r="L1557" i="17" s="1"/>
  <c r="M1557" i="17" s="1"/>
  <c r="H1554" i="17"/>
  <c r="L1554" i="17" s="1"/>
  <c r="M1554" i="17" s="1"/>
  <c r="H1552" i="17"/>
  <c r="L1552" i="17" s="1"/>
  <c r="H1551" i="17"/>
  <c r="L1551" i="17" s="1"/>
  <c r="H1550" i="17"/>
  <c r="L1550" i="17" s="1"/>
  <c r="H1549" i="17"/>
  <c r="L1549" i="17" s="1"/>
  <c r="H1548" i="17"/>
  <c r="L1548" i="17" s="1"/>
  <c r="M1548" i="17" s="1"/>
  <c r="H1547" i="17"/>
  <c r="L1547" i="17" s="1"/>
  <c r="H1546" i="17"/>
  <c r="L1546" i="17" s="1"/>
  <c r="M1546" i="17" s="1"/>
  <c r="H1545" i="17"/>
  <c r="L1545" i="17" s="1"/>
  <c r="H1544" i="17"/>
  <c r="L1544" i="17" s="1"/>
  <c r="M1544" i="17" s="1"/>
  <c r="H1543" i="17"/>
  <c r="L1543" i="17" s="1"/>
  <c r="H1542" i="17"/>
  <c r="L1542" i="17" s="1"/>
  <c r="M1542" i="17" s="1"/>
  <c r="H1540" i="17"/>
  <c r="L1540" i="17" s="1"/>
  <c r="H1539" i="17"/>
  <c r="L1539" i="17" s="1"/>
  <c r="M1539" i="17" s="1"/>
  <c r="H1538" i="17"/>
  <c r="L1538" i="17" s="1"/>
  <c r="H1537" i="17"/>
  <c r="L1537" i="17" s="1"/>
  <c r="M1537" i="17" s="1"/>
  <c r="H1533" i="17"/>
  <c r="L1533" i="17" s="1"/>
  <c r="H1532" i="17"/>
  <c r="L1532" i="17" s="1"/>
  <c r="M1532" i="17" s="1"/>
  <c r="H1531" i="17"/>
  <c r="L1531" i="17" s="1"/>
  <c r="H1530" i="17"/>
  <c r="L1530" i="17" s="1"/>
  <c r="H1529" i="17"/>
  <c r="L1529" i="17" s="1"/>
  <c r="M1529" i="17" s="1"/>
  <c r="H1527" i="17"/>
  <c r="L1527" i="17" s="1"/>
  <c r="H1526" i="17"/>
  <c r="L1526" i="17" s="1"/>
  <c r="M1526" i="17" s="1"/>
  <c r="H1525" i="17"/>
  <c r="L1525" i="17" s="1"/>
  <c r="M1525" i="17" s="1"/>
  <c r="H1524" i="17"/>
  <c r="L1524" i="17" s="1"/>
  <c r="H1522" i="17"/>
  <c r="L1522" i="17" s="1"/>
  <c r="H1521" i="17"/>
  <c r="L1521" i="17" s="1"/>
  <c r="M1521" i="17" s="1"/>
  <c r="H1519" i="17"/>
  <c r="L1519" i="17" s="1"/>
  <c r="H1518" i="17"/>
  <c r="L1518" i="17" s="1"/>
  <c r="M1518" i="17" s="1"/>
  <c r="H1517" i="17"/>
  <c r="L1517" i="17" s="1"/>
  <c r="M1517" i="17" s="1"/>
  <c r="H1516" i="17"/>
  <c r="L1516" i="17" s="1"/>
  <c r="H1515" i="17"/>
  <c r="L1515" i="17" s="1"/>
  <c r="H1514" i="17"/>
  <c r="L1514" i="17" s="1"/>
  <c r="M1514" i="17" s="1"/>
  <c r="H1513" i="17"/>
  <c r="L1513" i="17" s="1"/>
  <c r="M1513" i="17" s="1"/>
  <c r="H1512" i="17"/>
  <c r="L1512" i="17" s="1"/>
  <c r="H1510" i="17"/>
  <c r="L1510" i="17" s="1"/>
  <c r="H1508" i="17"/>
  <c r="L1508" i="17" s="1"/>
  <c r="H1507" i="17"/>
  <c r="L1507" i="17" s="1"/>
  <c r="M1507" i="17" s="1"/>
  <c r="H1506" i="17"/>
  <c r="L1506" i="17" s="1"/>
  <c r="M1506" i="17" s="1"/>
  <c r="H1505" i="17"/>
  <c r="L1505" i="17" s="1"/>
  <c r="H1502" i="17"/>
  <c r="L1502" i="17" s="1"/>
  <c r="H1501" i="17"/>
  <c r="L1501" i="17" s="1"/>
  <c r="M1501" i="17" s="1"/>
  <c r="H1500" i="17"/>
  <c r="L1500" i="17" s="1"/>
  <c r="M1500" i="17" s="1"/>
  <c r="H1498" i="17"/>
  <c r="L1498" i="17" s="1"/>
  <c r="H1493" i="17"/>
  <c r="L1493" i="17" s="1"/>
  <c r="M1493" i="17" s="1"/>
  <c r="H1491" i="17"/>
  <c r="L1491" i="17" s="1"/>
  <c r="H1490" i="17"/>
  <c r="L1490" i="17" s="1"/>
  <c r="H1489" i="17"/>
  <c r="L1489" i="17" s="1"/>
  <c r="H1488" i="17"/>
  <c r="L1488" i="17" s="1"/>
  <c r="H1487" i="17"/>
  <c r="L1487" i="17" s="1"/>
  <c r="M1487" i="17" s="1"/>
  <c r="H1486" i="17"/>
  <c r="L1486" i="17" s="1"/>
  <c r="H1485" i="17"/>
  <c r="L1485" i="17" s="1"/>
  <c r="M1485" i="17" s="1"/>
  <c r="H1484" i="17"/>
  <c r="L1484" i="17" s="1"/>
  <c r="M1484" i="17" s="1"/>
  <c r="H1483" i="17"/>
  <c r="L1483" i="17" s="1"/>
  <c r="H1482" i="17"/>
  <c r="L1482" i="17" s="1"/>
  <c r="M1482" i="17" s="1"/>
  <c r="H1481" i="17"/>
  <c r="L1481" i="17" s="1"/>
  <c r="H1480" i="17"/>
  <c r="L1480" i="17" s="1"/>
  <c r="M1480" i="17" s="1"/>
  <c r="H1479" i="17"/>
  <c r="L1479" i="17" s="1"/>
  <c r="H1477" i="17"/>
  <c r="L1477" i="17" s="1"/>
  <c r="H1476" i="17"/>
  <c r="L1476" i="17" s="1"/>
  <c r="M1476" i="17" s="1"/>
  <c r="H1475" i="17"/>
  <c r="L1475" i="17" s="1"/>
  <c r="H1474" i="17"/>
  <c r="L1474" i="17" s="1"/>
  <c r="M1474" i="17" s="1"/>
  <c r="H1473" i="17"/>
  <c r="L1473" i="17" s="1"/>
  <c r="H1471" i="17"/>
  <c r="L1471" i="17" s="1"/>
  <c r="M1471" i="17" s="1"/>
  <c r="H1470" i="17"/>
  <c r="L1470" i="17" s="1"/>
  <c r="M1470" i="17" s="1"/>
  <c r="H1468" i="17"/>
  <c r="L1468" i="17" s="1"/>
  <c r="H1467" i="17"/>
  <c r="L1467" i="17" s="1"/>
  <c r="M1467" i="17" s="1"/>
  <c r="H1466" i="17"/>
  <c r="L1466" i="17" s="1"/>
  <c r="M1466" i="17" s="1"/>
  <c r="H1465" i="17"/>
  <c r="L1465" i="17" s="1"/>
  <c r="H1463" i="17"/>
  <c r="L1463" i="17" s="1"/>
  <c r="H1462" i="17"/>
  <c r="L1462" i="17" s="1"/>
  <c r="M1462" i="17" s="1"/>
  <c r="H1461" i="17"/>
  <c r="L1461" i="17" s="1"/>
  <c r="M1461" i="17" s="1"/>
  <c r="H1459" i="17"/>
  <c r="L1459" i="17" s="1"/>
  <c r="H1458" i="17"/>
  <c r="L1458" i="17" s="1"/>
  <c r="M1458" i="17" s="1"/>
  <c r="H1457" i="17"/>
  <c r="L1457" i="17" s="1"/>
  <c r="M1457" i="17" s="1"/>
  <c r="H1456" i="17"/>
  <c r="L1456" i="17" s="1"/>
  <c r="H1455" i="17"/>
  <c r="L1455" i="17" s="1"/>
  <c r="H1454" i="17"/>
  <c r="L1454" i="17" s="1"/>
  <c r="M1454" i="17" s="1"/>
  <c r="H1453" i="17"/>
  <c r="L1453" i="17" s="1"/>
  <c r="M1453" i="17" s="1"/>
  <c r="H1452" i="17"/>
  <c r="L1452" i="17" s="1"/>
  <c r="H1450" i="17"/>
  <c r="L1450" i="17" s="1"/>
  <c r="H1449" i="17"/>
  <c r="L1449" i="17" s="1"/>
  <c r="M1449" i="17" s="1"/>
  <c r="H1448" i="17"/>
  <c r="L1448" i="17" s="1"/>
  <c r="M1448" i="17" s="1"/>
  <c r="H1447" i="17"/>
  <c r="L1447" i="17" s="1"/>
  <c r="H1445" i="17"/>
  <c r="L1445" i="17" s="1"/>
  <c r="H1443" i="17"/>
  <c r="L1443" i="17" s="1"/>
  <c r="H1442" i="17"/>
  <c r="L1442" i="17" s="1"/>
  <c r="M1442" i="17" s="1"/>
  <c r="H1441" i="17"/>
  <c r="L1441" i="17" s="1"/>
  <c r="M1441" i="17" s="1"/>
  <c r="H1440" i="17"/>
  <c r="L1440" i="17" s="1"/>
  <c r="H1437" i="17"/>
  <c r="L1437" i="17" s="1"/>
  <c r="H1436" i="17"/>
  <c r="L1436" i="17" s="1"/>
  <c r="M1436" i="17" s="1"/>
  <c r="H1435" i="17"/>
  <c r="L1435" i="17" s="1"/>
  <c r="M1435" i="17" s="1"/>
  <c r="H1434" i="17"/>
  <c r="L1434" i="17" s="1"/>
  <c r="H1431" i="17"/>
  <c r="L1431" i="17" s="1"/>
  <c r="H1430" i="17"/>
  <c r="L1430" i="17" s="1"/>
  <c r="M1430" i="17" s="1"/>
  <c r="H1429" i="17"/>
  <c r="L1429" i="17" s="1"/>
  <c r="M1429" i="17" s="1"/>
  <c r="H1427" i="17"/>
  <c r="L1427" i="17" s="1"/>
  <c r="H1424" i="17"/>
  <c r="L1424" i="17" s="1"/>
  <c r="M1424" i="17" s="1"/>
  <c r="H1421" i="17"/>
  <c r="L1421" i="17" s="1"/>
  <c r="M1421" i="17" s="1"/>
  <c r="H1419" i="17"/>
  <c r="L1419" i="17" s="1"/>
  <c r="H1418" i="17"/>
  <c r="L1418" i="17" s="1"/>
  <c r="H1417" i="17"/>
  <c r="L1417" i="17" s="1"/>
  <c r="H1416" i="17"/>
  <c r="L1416" i="17" s="1"/>
  <c r="H1415" i="17"/>
  <c r="L1415" i="17" s="1"/>
  <c r="M1415" i="17" s="1"/>
  <c r="H1414" i="17"/>
  <c r="L1414" i="17" s="1"/>
  <c r="H1413" i="17"/>
  <c r="L1413" i="17" s="1"/>
  <c r="M1413" i="17" s="1"/>
  <c r="H1412" i="17"/>
  <c r="L1412" i="17" s="1"/>
  <c r="H1411" i="17"/>
  <c r="L1411" i="17" s="1"/>
  <c r="M1411" i="17" s="1"/>
  <c r="H1410" i="17"/>
  <c r="L1410" i="17" s="1"/>
  <c r="H1409" i="17"/>
  <c r="L1409" i="17" s="1"/>
  <c r="M1409" i="17" s="1"/>
  <c r="H1407" i="17"/>
  <c r="L1407" i="17" s="1"/>
  <c r="H1406" i="17"/>
  <c r="L1406" i="17" s="1"/>
  <c r="M1406" i="17" s="1"/>
  <c r="H1405" i="17"/>
  <c r="L1405" i="17" s="1"/>
  <c r="H1404" i="17"/>
  <c r="L1404" i="17" s="1"/>
  <c r="M1404" i="17" s="1"/>
  <c r="H1403" i="17"/>
  <c r="L1403" i="17" s="1"/>
  <c r="H1402" i="17"/>
  <c r="L1402" i="17" s="1"/>
  <c r="M1402" i="17" s="1"/>
  <c r="H1401" i="17"/>
  <c r="L1401" i="17" s="1"/>
  <c r="H1399" i="17"/>
  <c r="L1399" i="17" s="1"/>
  <c r="H1398" i="17"/>
  <c r="L1398" i="17" s="1"/>
  <c r="M1398" i="17" s="1"/>
  <c r="H1397" i="17"/>
  <c r="L1397" i="17" s="1"/>
  <c r="M1397" i="17" s="1"/>
  <c r="H1396" i="17"/>
  <c r="L1396" i="17" s="1"/>
  <c r="H1394" i="17"/>
  <c r="L1394" i="17" s="1"/>
  <c r="H1393" i="17"/>
  <c r="L1393" i="17" s="1"/>
  <c r="M1393" i="17" s="1"/>
  <c r="H1391" i="17"/>
  <c r="L1391" i="17" s="1"/>
  <c r="H1390" i="17"/>
  <c r="L1390" i="17" s="1"/>
  <c r="M1390" i="17" s="1"/>
  <c r="H1389" i="17"/>
  <c r="L1389" i="17" s="1"/>
  <c r="M1389" i="17" s="1"/>
  <c r="H1388" i="17"/>
  <c r="L1388" i="17" s="1"/>
  <c r="H1387" i="17"/>
  <c r="L1387" i="17" s="1"/>
  <c r="H1386" i="17"/>
  <c r="L1386" i="17" s="1"/>
  <c r="M1386" i="17" s="1"/>
  <c r="H1385" i="17"/>
  <c r="L1385" i="17" s="1"/>
  <c r="M1385" i="17" s="1"/>
  <c r="H1384" i="17"/>
  <c r="L1384" i="17" s="1"/>
  <c r="H1381" i="17"/>
  <c r="L1381" i="17" s="1"/>
  <c r="H1380" i="17"/>
  <c r="L1380" i="17" s="1"/>
  <c r="M1380" i="17" s="1"/>
  <c r="H1379" i="17"/>
  <c r="L1379" i="17" s="1"/>
  <c r="M1379" i="17" s="1"/>
  <c r="H1378" i="17"/>
  <c r="L1378" i="17" s="1"/>
  <c r="H1375" i="17"/>
  <c r="L1375" i="17" s="1"/>
  <c r="H1370" i="17"/>
  <c r="L1370" i="17" s="1"/>
  <c r="M1370" i="17" s="1"/>
  <c r="H1368" i="17"/>
  <c r="L1368" i="17" s="1"/>
  <c r="H1367" i="17"/>
  <c r="L1367" i="17" s="1"/>
  <c r="H1366" i="17"/>
  <c r="L1366" i="17" s="1"/>
  <c r="H1365" i="17"/>
  <c r="L1365" i="17" s="1"/>
  <c r="H1364" i="17"/>
  <c r="L1364" i="17" s="1"/>
  <c r="M1364" i="17" s="1"/>
  <c r="H1363" i="17"/>
  <c r="L1363" i="17" s="1"/>
  <c r="H1362" i="17"/>
  <c r="L1362" i="17" s="1"/>
  <c r="M1362" i="17" s="1"/>
  <c r="H1361" i="17"/>
  <c r="L1361" i="17" s="1"/>
  <c r="M1361" i="17" s="1"/>
  <c r="H1360" i="17"/>
  <c r="L1360" i="17" s="1"/>
  <c r="H1359" i="17"/>
  <c r="L1359" i="17" s="1"/>
  <c r="M1359" i="17" s="1"/>
  <c r="H1358" i="17"/>
  <c r="L1358" i="17" s="1"/>
  <c r="M1358" i="17" s="1"/>
  <c r="H1357" i="17"/>
  <c r="L1357" i="17" s="1"/>
  <c r="H1356" i="17"/>
  <c r="L1356" i="17" s="1"/>
  <c r="M1356" i="17" s="1"/>
  <c r="H1355" i="17"/>
  <c r="L1355" i="17" s="1"/>
  <c r="H1354" i="17"/>
  <c r="L1354" i="17" s="1"/>
  <c r="M1354" i="17" s="1"/>
  <c r="H1353" i="17"/>
  <c r="L1353" i="17" s="1"/>
  <c r="M1353" i="17" s="1"/>
  <c r="H1352" i="17"/>
  <c r="L1352" i="17" s="1"/>
  <c r="H1351" i="17"/>
  <c r="L1351" i="17" s="1"/>
  <c r="M1351" i="17" s="1"/>
  <c r="H1350" i="17"/>
  <c r="L1350" i="17" s="1"/>
  <c r="M1350" i="17" s="1"/>
  <c r="H1349" i="17"/>
  <c r="L1349" i="17" s="1"/>
  <c r="H1348" i="17"/>
  <c r="L1348" i="17" s="1"/>
  <c r="M1348" i="17" s="1"/>
  <c r="H1347" i="17"/>
  <c r="L1347" i="17" s="1"/>
  <c r="M1347" i="17" s="1"/>
  <c r="H1346" i="17"/>
  <c r="L1346" i="17" s="1"/>
  <c r="H1345" i="17"/>
  <c r="L1345" i="17" s="1"/>
  <c r="M1345" i="17" s="1"/>
  <c r="H1344" i="17"/>
  <c r="L1344" i="17" s="1"/>
  <c r="H1343" i="17"/>
  <c r="L1343" i="17" s="1"/>
  <c r="M1343" i="17" s="1"/>
  <c r="H1342" i="17"/>
  <c r="L1342" i="17" s="1"/>
  <c r="H1341" i="17"/>
  <c r="L1341" i="17" s="1"/>
  <c r="M1341" i="17" s="1"/>
  <c r="H1340" i="17"/>
  <c r="L1340" i="17" s="1"/>
  <c r="H1339" i="17"/>
  <c r="L1339" i="17" s="1"/>
  <c r="M1339" i="17" s="1"/>
  <c r="H1338" i="17"/>
  <c r="L1338" i="17" s="1"/>
  <c r="H1336" i="17"/>
  <c r="L1336" i="17" s="1"/>
  <c r="H1335" i="17"/>
  <c r="L1335" i="17" s="1"/>
  <c r="M1335" i="17" s="1"/>
  <c r="H1334" i="17"/>
  <c r="L1334" i="17" s="1"/>
  <c r="H1333" i="17"/>
  <c r="L1333" i="17" s="1"/>
  <c r="M1333" i="17" s="1"/>
  <c r="H1332" i="17"/>
  <c r="L1332" i="17" s="1"/>
  <c r="H1331" i="17"/>
  <c r="L1331" i="17" s="1"/>
  <c r="M1331" i="17" s="1"/>
  <c r="H1330" i="17"/>
  <c r="L1330" i="17" s="1"/>
  <c r="H1328" i="17"/>
  <c r="L1328" i="17" s="1"/>
  <c r="M1328" i="17" s="1"/>
  <c r="H1326" i="17"/>
  <c r="L1326" i="17" s="1"/>
  <c r="H1325" i="17"/>
  <c r="L1325" i="17" s="1"/>
  <c r="M1325" i="17" s="1"/>
  <c r="H1324" i="17"/>
  <c r="L1324" i="17" s="1"/>
  <c r="M1324" i="17" s="1"/>
  <c r="H1323" i="17"/>
  <c r="L1323" i="17" s="1"/>
  <c r="H1321" i="17"/>
  <c r="L1321" i="17" s="1"/>
  <c r="H1320" i="17"/>
  <c r="L1320" i="17" s="1"/>
  <c r="M1320" i="17" s="1"/>
  <c r="H1319" i="17"/>
  <c r="L1319" i="17" s="1"/>
  <c r="M1319" i="17" s="1"/>
  <c r="H1317" i="17"/>
  <c r="L1317" i="17" s="1"/>
  <c r="H1316" i="17"/>
  <c r="L1316" i="17" s="1"/>
  <c r="M1316" i="17" s="1"/>
  <c r="H1315" i="17"/>
  <c r="L1315" i="17" s="1"/>
  <c r="M1315" i="17" s="1"/>
  <c r="H1314" i="17"/>
  <c r="L1314" i="17" s="1"/>
  <c r="H1313" i="17"/>
  <c r="L1313" i="17" s="1"/>
  <c r="H1312" i="17"/>
  <c r="L1312" i="17" s="1"/>
  <c r="M1312" i="17" s="1"/>
  <c r="H1311" i="17"/>
  <c r="L1311" i="17" s="1"/>
  <c r="M1311" i="17" s="1"/>
  <c r="H1310" i="17"/>
  <c r="L1310" i="17" s="1"/>
  <c r="H1308" i="17"/>
  <c r="L1308" i="17" s="1"/>
  <c r="H1307" i="17"/>
  <c r="L1307" i="17" s="1"/>
  <c r="M1307" i="17" s="1"/>
  <c r="H1306" i="17"/>
  <c r="L1306" i="17" s="1"/>
  <c r="M1306" i="17" s="1"/>
  <c r="H1305" i="17"/>
  <c r="L1305" i="17" s="1"/>
  <c r="H1302" i="17"/>
  <c r="L1302" i="17" s="1"/>
  <c r="H1301" i="17"/>
  <c r="L1301" i="17" s="1"/>
  <c r="M1301" i="17" s="1"/>
  <c r="H1300" i="17"/>
  <c r="L1300" i="17" s="1"/>
  <c r="M1300" i="17" s="1"/>
  <c r="H1299" i="17"/>
  <c r="L1299" i="17" s="1"/>
  <c r="H1296" i="17"/>
  <c r="L1296" i="17" s="1"/>
  <c r="H1295" i="17"/>
  <c r="L1295" i="17" s="1"/>
  <c r="M1295" i="17" s="1"/>
  <c r="H1294" i="17"/>
  <c r="L1294" i="17" s="1"/>
  <c r="M1294" i="17" s="1"/>
  <c r="H1292" i="17"/>
  <c r="L1292" i="17" s="1"/>
  <c r="H1289" i="17"/>
  <c r="L1289" i="17" s="1"/>
  <c r="M1289" i="17" s="1"/>
  <c r="H1288" i="17"/>
  <c r="L1288" i="17" s="1"/>
  <c r="M1288" i="17" s="1"/>
  <c r="H1285" i="17"/>
  <c r="L1285" i="17" s="1"/>
  <c r="M1285" i="17" s="1"/>
  <c r="H1283" i="17"/>
  <c r="L1283" i="17" s="1"/>
  <c r="H1282" i="17"/>
  <c r="L1282" i="17" s="1"/>
  <c r="H1281" i="17"/>
  <c r="L1281" i="17" s="1"/>
  <c r="H1280" i="17"/>
  <c r="L1280" i="17" s="1"/>
  <c r="H1279" i="17"/>
  <c r="L1279" i="17" s="1"/>
  <c r="M1279" i="17" s="1"/>
  <c r="H1278" i="17"/>
  <c r="L1278" i="17" s="1"/>
  <c r="H1277" i="17"/>
  <c r="L1277" i="17" s="1"/>
  <c r="M1277" i="17" s="1"/>
  <c r="H1276" i="17"/>
  <c r="L1276" i="17" s="1"/>
  <c r="H1275" i="17"/>
  <c r="L1275" i="17" s="1"/>
  <c r="M1275" i="17" s="1"/>
  <c r="H1274" i="17"/>
  <c r="L1274" i="17" s="1"/>
  <c r="H1273" i="17"/>
  <c r="L1273" i="17" s="1"/>
  <c r="M1273" i="17" s="1"/>
  <c r="H1272" i="17"/>
  <c r="L1272" i="17" s="1"/>
  <c r="H1270" i="17"/>
  <c r="L1270" i="17" s="1"/>
  <c r="H1269" i="17"/>
  <c r="L1269" i="17" s="1"/>
  <c r="M1269" i="17" s="1"/>
  <c r="H1268" i="17"/>
  <c r="L1268" i="17" s="1"/>
  <c r="H1267" i="17"/>
  <c r="L1267" i="17" s="1"/>
  <c r="M1267" i="17" s="1"/>
  <c r="H1266" i="17"/>
  <c r="L1266" i="17" s="1"/>
  <c r="H1264" i="17"/>
  <c r="L1264" i="17" s="1"/>
  <c r="H1263" i="17"/>
  <c r="L1263" i="17" s="1"/>
  <c r="M1263" i="17" s="1"/>
  <c r="H1261" i="17"/>
  <c r="L1261" i="17" s="1"/>
  <c r="H1259" i="17"/>
  <c r="L1259" i="17" s="1"/>
  <c r="H1258" i="17"/>
  <c r="L1258" i="17" s="1"/>
  <c r="M1258" i="17" s="1"/>
  <c r="H1257" i="17"/>
  <c r="L1257" i="17" s="1"/>
  <c r="M1257" i="17" s="1"/>
  <c r="H1255" i="17"/>
  <c r="L1255" i="17" s="1"/>
  <c r="H1254" i="17"/>
  <c r="L1254" i="17" s="1"/>
  <c r="M1254" i="17" s="1"/>
  <c r="H1253" i="17"/>
  <c r="L1253" i="17" s="1"/>
  <c r="M1253" i="17" s="1"/>
  <c r="H1252" i="17"/>
  <c r="L1252" i="17" s="1"/>
  <c r="H1251" i="17"/>
  <c r="L1251" i="17" s="1"/>
  <c r="H1250" i="17"/>
  <c r="L1250" i="17" s="1"/>
  <c r="M1250" i="17" s="1"/>
  <c r="H1249" i="17"/>
  <c r="L1249" i="17" s="1"/>
  <c r="M1249" i="17" s="1"/>
  <c r="H1248" i="17"/>
  <c r="L1248" i="17" s="1"/>
  <c r="H1245" i="17"/>
  <c r="L1245" i="17" s="1"/>
  <c r="H1244" i="17"/>
  <c r="L1244" i="17" s="1"/>
  <c r="M1244" i="17" s="1"/>
  <c r="H1243" i="17"/>
  <c r="L1243" i="17" s="1"/>
  <c r="M1243" i="17" s="1"/>
  <c r="H1242" i="17"/>
  <c r="L1242" i="17" s="1"/>
  <c r="H1239" i="17"/>
  <c r="L1239" i="17" s="1"/>
  <c r="H1238" i="17"/>
  <c r="L1238" i="17" s="1"/>
  <c r="M1238" i="17" s="1"/>
  <c r="H1237" i="17"/>
  <c r="L1237" i="17" s="1"/>
  <c r="M1237" i="17" s="1"/>
  <c r="H1235" i="17"/>
  <c r="L1235" i="17" s="1"/>
  <c r="H1230" i="17"/>
  <c r="L1230" i="17" s="1"/>
  <c r="M1230" i="17" s="1"/>
  <c r="H1228" i="17"/>
  <c r="L1228" i="17" s="1"/>
  <c r="H1227" i="17"/>
  <c r="L1227" i="17" s="1"/>
  <c r="H1226" i="17"/>
  <c r="L1226" i="17" s="1"/>
  <c r="H1225" i="17"/>
  <c r="L1225" i="17" s="1"/>
  <c r="H1224" i="17"/>
  <c r="L1224" i="17" s="1"/>
  <c r="H1223" i="17"/>
  <c r="L1223" i="17" s="1"/>
  <c r="H1222" i="17"/>
  <c r="L1222" i="17" s="1"/>
  <c r="M1222" i="17" s="1"/>
  <c r="H1221" i="17"/>
  <c r="L1221" i="17" s="1"/>
  <c r="H1220" i="17"/>
  <c r="L1220" i="17" s="1"/>
  <c r="M1220" i="17" s="1"/>
  <c r="H1219" i="17"/>
  <c r="L1219" i="17" s="1"/>
  <c r="H1218" i="17"/>
  <c r="L1218" i="17" s="1"/>
  <c r="M1218" i="17" s="1"/>
  <c r="H1217" i="17"/>
  <c r="L1217" i="17" s="1"/>
  <c r="H1216" i="17"/>
  <c r="L1216" i="17" s="1"/>
  <c r="M1216" i="17" s="1"/>
  <c r="H1215" i="17"/>
  <c r="L1215" i="17" s="1"/>
  <c r="H1214" i="17"/>
  <c r="L1214" i="17" s="1"/>
  <c r="M1214" i="17" s="1"/>
  <c r="H1213" i="17"/>
  <c r="L1213" i="17" s="1"/>
  <c r="H1212" i="17"/>
  <c r="L1212" i="17" s="1"/>
  <c r="M1212" i="17" s="1"/>
  <c r="H1211" i="17"/>
  <c r="L1211" i="17" s="1"/>
  <c r="M1211" i="17" s="1"/>
  <c r="H1210" i="17"/>
  <c r="L1210" i="17" s="1"/>
  <c r="H1207" i="17"/>
  <c r="L1207" i="17" s="1"/>
  <c r="H1205" i="17"/>
  <c r="L1205" i="17" s="1"/>
  <c r="M1205" i="17" s="1"/>
  <c r="H1203" i="17"/>
  <c r="L1203" i="17" s="1"/>
  <c r="H1202" i="17"/>
  <c r="L1202" i="17" s="1"/>
  <c r="H1201" i="17"/>
  <c r="L1201" i="17" s="1"/>
  <c r="H1200" i="17"/>
  <c r="L1200" i="17" s="1"/>
  <c r="H1199" i="17"/>
  <c r="L1199" i="17" s="1"/>
  <c r="M1199" i="17" s="1"/>
  <c r="H1198" i="17"/>
  <c r="L1198" i="17" s="1"/>
  <c r="H1197" i="17"/>
  <c r="L1197" i="17" s="1"/>
  <c r="M1197" i="17" s="1"/>
  <c r="H1196" i="17"/>
  <c r="L1196" i="17" s="1"/>
  <c r="H1194" i="17"/>
  <c r="L1194" i="17" s="1"/>
  <c r="H1192" i="17"/>
  <c r="L1192" i="17" s="1"/>
  <c r="H1189" i="17"/>
  <c r="L1189" i="17" s="1"/>
  <c r="H1186" i="17"/>
  <c r="L1186" i="17" s="1"/>
  <c r="H1183" i="17"/>
  <c r="L1183" i="17" s="1"/>
  <c r="M1183" i="17" s="1"/>
  <c r="H1181" i="17"/>
  <c r="L1181" i="17" s="1"/>
  <c r="H1180" i="17"/>
  <c r="L1180" i="17" s="1"/>
  <c r="H1179" i="17"/>
  <c r="L1179" i="17" s="1"/>
  <c r="H1178" i="17"/>
  <c r="L1178" i="17" s="1"/>
  <c r="H1177" i="17"/>
  <c r="L1177" i="17" s="1"/>
  <c r="M1177" i="17" s="1"/>
  <c r="H1176" i="17"/>
  <c r="L1176" i="17" s="1"/>
  <c r="H1175" i="17"/>
  <c r="L1175" i="17" s="1"/>
  <c r="M1175" i="17" s="1"/>
  <c r="H1174" i="17"/>
  <c r="L1174" i="17" s="1"/>
  <c r="H1173" i="17"/>
  <c r="L1173" i="17" s="1"/>
  <c r="M1173" i="17" s="1"/>
  <c r="H1172" i="17"/>
  <c r="L1172" i="17" s="1"/>
  <c r="M1172" i="17" s="1"/>
  <c r="H1171" i="17"/>
  <c r="L1171" i="17" s="1"/>
  <c r="H1170" i="17"/>
  <c r="L1170" i="17" s="1"/>
  <c r="M1170" i="17" s="1"/>
  <c r="H1169" i="17"/>
  <c r="L1169" i="17" s="1"/>
  <c r="H1168" i="17"/>
  <c r="L1168" i="17" s="1"/>
  <c r="M1168" i="17" s="1"/>
  <c r="H1167" i="17"/>
  <c r="L1167" i="17" s="1"/>
  <c r="M1167" i="17" s="1"/>
  <c r="H1166" i="17"/>
  <c r="L1166" i="17" s="1"/>
  <c r="H1165" i="17"/>
  <c r="L1165" i="17" s="1"/>
  <c r="H1164" i="17"/>
  <c r="L1164" i="17" s="1"/>
  <c r="M1164" i="17" s="1"/>
  <c r="H1163" i="17"/>
  <c r="L1163" i="17" s="1"/>
  <c r="H1162" i="17"/>
  <c r="L1162" i="17" s="1"/>
  <c r="M1162" i="17" s="1"/>
  <c r="H1161" i="17"/>
  <c r="L1161" i="17" s="1"/>
  <c r="M1161" i="17" s="1"/>
  <c r="H1160" i="17"/>
  <c r="L1160" i="17" s="1"/>
  <c r="H1159" i="17"/>
  <c r="L1159" i="17" s="1"/>
  <c r="H1158" i="17"/>
  <c r="L1158" i="17" s="1"/>
  <c r="H1157" i="17"/>
  <c r="L1157" i="17" s="1"/>
  <c r="M1157" i="17" s="1"/>
  <c r="H1156" i="17"/>
  <c r="L1156" i="17" s="1"/>
  <c r="M1156" i="17" s="1"/>
  <c r="H1155" i="17"/>
  <c r="L1155" i="17" s="1"/>
  <c r="M1155" i="17" s="1"/>
  <c r="H1154" i="17"/>
  <c r="L1154" i="17" s="1"/>
  <c r="M1154" i="17" s="1"/>
  <c r="H1153" i="17"/>
  <c r="L1153" i="17" s="1"/>
  <c r="M1153" i="17" s="1"/>
  <c r="H1152" i="17"/>
  <c r="L1152" i="17" s="1"/>
  <c r="M1152" i="17" s="1"/>
  <c r="H1151" i="17"/>
  <c r="L1151" i="17" s="1"/>
  <c r="M1151" i="17" s="1"/>
  <c r="H1150" i="17"/>
  <c r="L1150" i="17" s="1"/>
  <c r="M1150" i="17" s="1"/>
  <c r="H1149" i="17"/>
  <c r="L1149" i="17" s="1"/>
  <c r="H1148" i="17"/>
  <c r="L1148" i="17" s="1"/>
  <c r="H1147" i="17"/>
  <c r="L1147" i="17" s="1"/>
  <c r="H1146" i="17"/>
  <c r="L1146" i="17" s="1"/>
  <c r="H1145" i="17"/>
  <c r="L1145" i="17" s="1"/>
  <c r="M1145" i="17" s="1"/>
  <c r="H1144" i="17"/>
  <c r="L1144" i="17" s="1"/>
  <c r="M1144" i="17" s="1"/>
  <c r="H1143" i="17"/>
  <c r="L1143" i="17" s="1"/>
  <c r="H1142" i="17"/>
  <c r="L1142" i="17" s="1"/>
  <c r="M1142" i="17" s="1"/>
  <c r="H1141" i="17"/>
  <c r="L1141" i="17" s="1"/>
  <c r="H1140" i="17"/>
  <c r="L1140" i="17" s="1"/>
  <c r="M1140" i="17" s="1"/>
  <c r="H1139" i="17"/>
  <c r="L1139" i="17" s="1"/>
  <c r="H1138" i="17"/>
  <c r="L1138" i="17" s="1"/>
  <c r="M1138" i="17" s="1"/>
  <c r="H1137" i="17"/>
  <c r="L1137" i="17" s="1"/>
  <c r="M1137" i="17" s="1"/>
  <c r="H1136" i="17"/>
  <c r="L1136" i="17" s="1"/>
  <c r="H1135" i="17"/>
  <c r="L1135" i="17" s="1"/>
  <c r="M1135" i="17" s="1"/>
  <c r="H1134" i="17"/>
  <c r="L1134" i="17" s="1"/>
  <c r="H1133" i="17"/>
  <c r="L1133" i="17" s="1"/>
  <c r="H1132" i="17"/>
  <c r="L1132" i="17" s="1"/>
  <c r="H1131" i="17"/>
  <c r="L1131" i="17" s="1"/>
  <c r="M1131" i="17" s="1"/>
  <c r="H1130" i="17"/>
  <c r="L1130" i="17" s="1"/>
  <c r="M1130" i="17" s="1"/>
  <c r="H1129" i="17"/>
  <c r="L1129" i="17" s="1"/>
  <c r="M1129" i="17" s="1"/>
  <c r="H1128" i="17"/>
  <c r="L1128" i="17" s="1"/>
  <c r="M1128" i="17" s="1"/>
  <c r="H1126" i="17"/>
  <c r="L1126" i="17" s="1"/>
  <c r="H1123" i="17"/>
  <c r="L1123" i="17" s="1"/>
  <c r="H1121" i="17"/>
  <c r="L1121" i="17" s="1"/>
  <c r="H1120" i="17"/>
  <c r="L1120" i="17" s="1"/>
  <c r="M1120" i="17" s="1"/>
  <c r="H1118" i="17"/>
  <c r="L1118" i="17" s="1"/>
  <c r="H1117" i="17"/>
  <c r="L1117" i="17" s="1"/>
  <c r="M1117" i="17" s="1"/>
  <c r="H1116" i="17"/>
  <c r="L1116" i="17" s="1"/>
  <c r="H1115" i="17"/>
  <c r="L1115" i="17" s="1"/>
  <c r="M1115" i="17" s="1"/>
  <c r="H1113" i="17"/>
  <c r="L1113" i="17" s="1"/>
  <c r="H1110" i="17"/>
  <c r="L1110" i="17" s="1"/>
  <c r="H1109" i="17"/>
  <c r="L1109" i="17" s="1"/>
  <c r="H1108" i="17"/>
  <c r="L1108" i="17" s="1"/>
  <c r="H1107" i="17"/>
  <c r="L1107" i="17" s="1"/>
  <c r="H1105" i="17"/>
  <c r="L1105" i="17" s="1"/>
  <c r="M1105" i="17" s="1"/>
  <c r="H1103" i="17"/>
  <c r="L1103" i="17" s="1"/>
  <c r="H1099" i="17"/>
  <c r="L1099" i="17" s="1"/>
  <c r="H1098" i="17"/>
  <c r="L1098" i="17" s="1"/>
  <c r="H1097" i="17"/>
  <c r="L1097" i="17" s="1"/>
  <c r="H1094" i="17"/>
  <c r="L1094" i="17" s="1"/>
  <c r="H1092" i="17"/>
  <c r="L1092" i="17" s="1"/>
  <c r="H1091" i="17"/>
  <c r="L1091" i="17" s="1"/>
  <c r="M1091" i="17" s="1"/>
  <c r="H1090" i="17"/>
  <c r="L1090" i="17" s="1"/>
  <c r="H1089" i="17"/>
  <c r="L1089" i="17" s="1"/>
  <c r="H1088" i="17"/>
  <c r="L1088" i="17" s="1"/>
  <c r="M1088" i="17" s="1"/>
  <c r="H1086" i="17"/>
  <c r="L1086" i="17" s="1"/>
  <c r="H1085" i="17"/>
  <c r="L1085" i="17" s="1"/>
  <c r="H1084" i="17"/>
  <c r="L1084" i="17" s="1"/>
  <c r="M1084" i="17" s="1"/>
  <c r="H1083" i="17"/>
  <c r="L1083" i="17" s="1"/>
  <c r="H1079" i="17"/>
  <c r="L1079" i="17" s="1"/>
  <c r="H1078" i="17"/>
  <c r="L1078" i="17" s="1"/>
  <c r="M1078" i="17" s="1"/>
  <c r="H1077" i="17"/>
  <c r="L1077" i="17" s="1"/>
  <c r="M1077" i="17" s="1"/>
  <c r="H1076" i="17"/>
  <c r="L1076" i="17" s="1"/>
  <c r="H1075" i="17"/>
  <c r="L1075" i="17" s="1"/>
  <c r="M1075" i="17" s="1"/>
  <c r="H1074" i="17"/>
  <c r="L1074" i="17" s="1"/>
  <c r="M1074" i="17" s="1"/>
  <c r="H1072" i="17"/>
  <c r="L1072" i="17" s="1"/>
  <c r="H1069" i="17"/>
  <c r="L1069" i="17" s="1"/>
  <c r="H1068" i="17"/>
  <c r="L1068" i="17" s="1"/>
  <c r="M1068" i="17" s="1"/>
  <c r="H1065" i="17"/>
  <c r="L1065" i="17" s="1"/>
  <c r="M1065" i="17" s="1"/>
  <c r="H1063" i="17"/>
  <c r="L1063" i="17" s="1"/>
  <c r="H1062" i="17"/>
  <c r="L1062" i="17" s="1"/>
  <c r="H1061" i="17"/>
  <c r="L1061" i="17" s="1"/>
  <c r="H1060" i="17"/>
  <c r="L1060" i="17" s="1"/>
  <c r="H1059" i="17"/>
  <c r="L1059" i="17" s="1"/>
  <c r="M1059" i="17" s="1"/>
  <c r="H1058" i="17"/>
  <c r="L1058" i="17" s="1"/>
  <c r="H1057" i="17"/>
  <c r="L1057" i="17" s="1"/>
  <c r="M1057" i="17" s="1"/>
  <c r="H1056" i="17"/>
  <c r="L1056" i="17" s="1"/>
  <c r="H1055" i="17"/>
  <c r="L1055" i="17" s="1"/>
  <c r="M1055" i="17" s="1"/>
  <c r="H1054" i="17"/>
  <c r="L1054" i="17" s="1"/>
  <c r="H1053" i="17"/>
  <c r="L1053" i="17" s="1"/>
  <c r="M1053" i="17" s="1"/>
  <c r="H1052" i="17"/>
  <c r="L1052" i="17" s="1"/>
  <c r="M1052" i="17" s="1"/>
  <c r="H1051" i="17"/>
  <c r="L1051" i="17" s="1"/>
  <c r="H1050" i="17"/>
  <c r="L1050" i="17" s="1"/>
  <c r="M1050" i="17" s="1"/>
  <c r="H1049" i="17"/>
  <c r="L1049" i="17" s="1"/>
  <c r="H1048" i="17"/>
  <c r="L1048" i="17" s="1"/>
  <c r="M1048" i="17" s="1"/>
  <c r="H1047" i="17"/>
  <c r="L1047" i="17" s="1"/>
  <c r="M1047" i="17" s="1"/>
  <c r="H1046" i="17"/>
  <c r="L1046" i="17" s="1"/>
  <c r="H1045" i="17"/>
  <c r="L1045" i="17" s="1"/>
  <c r="M1045" i="17" s="1"/>
  <c r="H1044" i="17"/>
  <c r="L1044" i="17" s="1"/>
  <c r="H1043" i="17"/>
  <c r="L1043" i="17" s="1"/>
  <c r="M1043" i="17" s="1"/>
  <c r="H1042" i="17"/>
  <c r="L1042" i="17" s="1"/>
  <c r="M1042" i="17" s="1"/>
  <c r="H1041" i="17"/>
  <c r="L1041" i="17" s="1"/>
  <c r="H1040" i="17"/>
  <c r="L1040" i="17" s="1"/>
  <c r="M1040" i="17" s="1"/>
  <c r="H1039" i="17"/>
  <c r="L1039" i="17" s="1"/>
  <c r="H1038" i="17"/>
  <c r="L1038" i="17" s="1"/>
  <c r="M1038" i="17" s="1"/>
  <c r="H1037" i="17"/>
  <c r="L1037" i="17" s="1"/>
  <c r="M1037" i="17" s="1"/>
  <c r="H1036" i="17"/>
  <c r="L1036" i="17" s="1"/>
  <c r="H1035" i="17"/>
  <c r="L1035" i="17" s="1"/>
  <c r="M1035" i="17" s="1"/>
  <c r="H1034" i="17"/>
  <c r="L1034" i="17" s="1"/>
  <c r="H1033" i="17"/>
  <c r="L1033" i="17" s="1"/>
  <c r="M1033" i="17" s="1"/>
  <c r="H1032" i="17"/>
  <c r="L1032" i="17" s="1"/>
  <c r="M1032" i="17" s="1"/>
  <c r="H1031" i="17"/>
  <c r="L1031" i="17" s="1"/>
  <c r="H1030" i="17"/>
  <c r="L1030" i="17" s="1"/>
  <c r="M1030" i="17" s="1"/>
  <c r="H1029" i="17"/>
  <c r="L1029" i="17" s="1"/>
  <c r="H1028" i="17"/>
  <c r="L1028" i="17" s="1"/>
  <c r="M1028" i="17" s="1"/>
  <c r="H1027" i="17"/>
  <c r="L1027" i="17" s="1"/>
  <c r="M1027" i="17" s="1"/>
  <c r="H1026" i="17"/>
  <c r="L1026" i="17" s="1"/>
  <c r="H1025" i="17"/>
  <c r="L1025" i="17" s="1"/>
  <c r="M1025" i="17" s="1"/>
  <c r="H1024" i="17"/>
  <c r="L1024" i="17" s="1"/>
  <c r="H1023" i="17"/>
  <c r="L1023" i="17" s="1"/>
  <c r="M1023" i="17" s="1"/>
  <c r="H1022" i="17"/>
  <c r="L1022" i="17" s="1"/>
  <c r="M1022" i="17" s="1"/>
  <c r="H1021" i="17"/>
  <c r="L1021" i="17" s="1"/>
  <c r="H1020" i="17"/>
  <c r="L1020" i="17" s="1"/>
  <c r="M1020" i="17" s="1"/>
  <c r="H1019" i="17"/>
  <c r="L1019" i="17" s="1"/>
  <c r="M1019" i="17" s="1"/>
  <c r="H1018" i="17"/>
  <c r="L1018" i="17" s="1"/>
  <c r="M1018" i="17" s="1"/>
  <c r="H1016" i="17"/>
  <c r="L1016" i="17" s="1"/>
  <c r="H1015" i="17"/>
  <c r="L1015" i="17" s="1"/>
  <c r="H1014" i="17"/>
  <c r="L1014" i="17" s="1"/>
  <c r="M1014" i="17" s="1"/>
  <c r="H1013" i="17"/>
  <c r="L1013" i="17" s="1"/>
  <c r="M1013" i="17" s="1"/>
  <c r="H1011" i="17"/>
  <c r="L1011" i="17" s="1"/>
  <c r="H1010" i="17"/>
  <c r="L1010" i="17" s="1"/>
  <c r="H1009" i="17"/>
  <c r="L1009" i="17" s="1"/>
  <c r="H1008" i="17"/>
  <c r="L1008" i="17" s="1"/>
  <c r="M1008" i="17" s="1"/>
  <c r="H1007" i="17"/>
  <c r="L1007" i="17" s="1"/>
  <c r="M1007" i="17" s="1"/>
  <c r="H1006" i="17"/>
  <c r="L1006" i="17" s="1"/>
  <c r="M1006" i="17" s="1"/>
  <c r="H1005" i="17"/>
  <c r="L1005" i="17" s="1"/>
  <c r="M1005" i="17" s="1"/>
  <c r="H1003" i="17"/>
  <c r="L1003" i="17" s="1"/>
  <c r="H1002" i="17"/>
  <c r="L1002" i="17" s="1"/>
  <c r="M1002" i="17" s="1"/>
  <c r="H1001" i="17"/>
  <c r="L1001" i="17" s="1"/>
  <c r="M1001" i="17" s="1"/>
  <c r="H1000" i="17"/>
  <c r="L1000" i="17" s="1"/>
  <c r="H998" i="17"/>
  <c r="L998" i="17" s="1"/>
  <c r="H997" i="17"/>
  <c r="L997" i="17" s="1"/>
  <c r="M997" i="17" s="1"/>
  <c r="H996" i="17"/>
  <c r="L996" i="17" s="1"/>
  <c r="H995" i="17"/>
  <c r="L995" i="17" s="1"/>
  <c r="H994" i="17"/>
  <c r="L994" i="17" s="1"/>
  <c r="H993" i="17"/>
  <c r="L993" i="17" s="1"/>
  <c r="M993" i="17" s="1"/>
  <c r="H991" i="17"/>
  <c r="L991" i="17" s="1"/>
  <c r="M991" i="17" s="1"/>
  <c r="H989" i="17"/>
  <c r="L989" i="17" s="1"/>
  <c r="H988" i="17"/>
  <c r="L988" i="17" s="1"/>
  <c r="M988" i="17" s="1"/>
  <c r="H987" i="17"/>
  <c r="L987" i="17" s="1"/>
  <c r="H986" i="17"/>
  <c r="L986" i="17" s="1"/>
  <c r="H985" i="17"/>
  <c r="L985" i="17" s="1"/>
  <c r="M985" i="17" s="1"/>
  <c r="H984" i="17"/>
  <c r="L984" i="17" s="1"/>
  <c r="H983" i="17"/>
  <c r="L983" i="17" s="1"/>
  <c r="M983" i="17" s="1"/>
  <c r="H982" i="17"/>
  <c r="L982" i="17" s="1"/>
  <c r="H979" i="17"/>
  <c r="L979" i="17" s="1"/>
  <c r="H973" i="17"/>
  <c r="L973" i="17" s="1"/>
  <c r="M973" i="17" s="1"/>
  <c r="H971" i="17"/>
  <c r="L971" i="17" s="1"/>
  <c r="H970" i="17"/>
  <c r="L970" i="17" s="1"/>
  <c r="H969" i="17"/>
  <c r="L969" i="17" s="1"/>
  <c r="H968" i="17"/>
  <c r="L968" i="17" s="1"/>
  <c r="H967" i="17"/>
  <c r="L967" i="17" s="1"/>
  <c r="M967" i="17" s="1"/>
  <c r="H966" i="17"/>
  <c r="L966" i="17" s="1"/>
  <c r="M966" i="17" s="1"/>
  <c r="H965" i="17"/>
  <c r="L965" i="17" s="1"/>
  <c r="M965" i="17" s="1"/>
  <c r="H964" i="17"/>
  <c r="L964" i="17" s="1"/>
  <c r="H963" i="17"/>
  <c r="L963" i="17" s="1"/>
  <c r="M963" i="17" s="1"/>
  <c r="H962" i="17"/>
  <c r="L962" i="17" s="1"/>
  <c r="M962" i="17" s="1"/>
  <c r="H961" i="17"/>
  <c r="L961" i="17" s="1"/>
  <c r="M961" i="17" s="1"/>
  <c r="H960" i="17"/>
  <c r="L960" i="17" s="1"/>
  <c r="H959" i="17"/>
  <c r="L959" i="17" s="1"/>
  <c r="H958" i="17"/>
  <c r="L958" i="17" s="1"/>
  <c r="H957" i="17"/>
  <c r="L957" i="17" s="1"/>
  <c r="H956" i="17"/>
  <c r="L956" i="17" s="1"/>
  <c r="H955" i="17"/>
  <c r="L955" i="17" s="1"/>
  <c r="H954" i="17"/>
  <c r="L954" i="17" s="1"/>
  <c r="H953" i="17"/>
  <c r="L953" i="17" s="1"/>
  <c r="M953" i="17" s="1"/>
  <c r="H951" i="17"/>
  <c r="L951" i="17" s="1"/>
  <c r="M951" i="17" s="1"/>
  <c r="H950" i="17"/>
  <c r="L950" i="17" s="1"/>
  <c r="M950" i="17" s="1"/>
  <c r="H949" i="17"/>
  <c r="L949" i="17" s="1"/>
  <c r="M949" i="17" s="1"/>
  <c r="H947" i="17"/>
  <c r="L947" i="17" s="1"/>
  <c r="H946" i="17"/>
  <c r="L946" i="17" s="1"/>
  <c r="M946" i="17" s="1"/>
  <c r="H945" i="17"/>
  <c r="L945" i="17" s="1"/>
  <c r="M945" i="17" s="1"/>
  <c r="H943" i="17"/>
  <c r="L943" i="17" s="1"/>
  <c r="M943" i="17" s="1"/>
  <c r="H942" i="17"/>
  <c r="L942" i="17" s="1"/>
  <c r="M942" i="17" s="1"/>
  <c r="H941" i="17"/>
  <c r="L941" i="17" s="1"/>
  <c r="M941" i="17" s="1"/>
  <c r="H940" i="17"/>
  <c r="L940" i="17" s="1"/>
  <c r="M940" i="17" s="1"/>
  <c r="H938" i="17"/>
  <c r="L938" i="17" s="1"/>
  <c r="H936" i="17"/>
  <c r="L936" i="17" s="1"/>
  <c r="H934" i="17"/>
  <c r="L934" i="17" s="1"/>
  <c r="M934" i="17" s="1"/>
  <c r="H933" i="17"/>
  <c r="L933" i="17" s="1"/>
  <c r="H931" i="17"/>
  <c r="L931" i="17" s="1"/>
  <c r="H929" i="17"/>
  <c r="L929" i="17" s="1"/>
  <c r="H926" i="17"/>
  <c r="L926" i="17" s="1"/>
  <c r="H921" i="17"/>
  <c r="L921" i="17" s="1"/>
  <c r="M921" i="17" s="1"/>
  <c r="H919" i="17"/>
  <c r="L919" i="17" s="1"/>
  <c r="H918" i="17"/>
  <c r="L918" i="17" s="1"/>
  <c r="H917" i="17"/>
  <c r="L917" i="17" s="1"/>
  <c r="H916" i="17"/>
  <c r="L916" i="17" s="1"/>
  <c r="H915" i="17"/>
  <c r="L915" i="17" s="1"/>
  <c r="M915" i="17" s="1"/>
  <c r="H914" i="17"/>
  <c r="L914" i="17" s="1"/>
  <c r="H913" i="17"/>
  <c r="L913" i="17" s="1"/>
  <c r="M913" i="17" s="1"/>
  <c r="H912" i="17"/>
  <c r="L912" i="17" s="1"/>
  <c r="M912" i="17" s="1"/>
  <c r="H911" i="17"/>
  <c r="L911" i="17" s="1"/>
  <c r="H910" i="17"/>
  <c r="L910" i="17" s="1"/>
  <c r="M910" i="17" s="1"/>
  <c r="H909" i="17"/>
  <c r="L909" i="17" s="1"/>
  <c r="H908" i="17"/>
  <c r="L908" i="17" s="1"/>
  <c r="M908" i="17" s="1"/>
  <c r="H907" i="17"/>
  <c r="L907" i="17" s="1"/>
  <c r="H906" i="17"/>
  <c r="L906" i="17" s="1"/>
  <c r="M906" i="17" s="1"/>
  <c r="H905" i="17"/>
  <c r="L905" i="17" s="1"/>
  <c r="H904" i="17"/>
  <c r="L904" i="17" s="1"/>
  <c r="M904" i="17" s="1"/>
  <c r="H903" i="17"/>
  <c r="L903" i="17" s="1"/>
  <c r="H902" i="17"/>
  <c r="L902" i="17" s="1"/>
  <c r="M902" i="17" s="1"/>
  <c r="H901" i="17"/>
  <c r="L901" i="17" s="1"/>
  <c r="H900" i="17"/>
  <c r="L900" i="17" s="1"/>
  <c r="M900" i="17" s="1"/>
  <c r="H899" i="17"/>
  <c r="L899" i="17" s="1"/>
  <c r="H898" i="17"/>
  <c r="L898" i="17" s="1"/>
  <c r="M898" i="17" s="1"/>
  <c r="H897" i="17"/>
  <c r="L897" i="17" s="1"/>
  <c r="H896" i="17"/>
  <c r="L896" i="17" s="1"/>
  <c r="M896" i="17" s="1"/>
  <c r="H895" i="17"/>
  <c r="L895" i="17" s="1"/>
  <c r="H894" i="17"/>
  <c r="L894" i="17" s="1"/>
  <c r="M894" i="17" s="1"/>
  <c r="H893" i="17"/>
  <c r="L893" i="17" s="1"/>
  <c r="H892" i="17"/>
  <c r="L892" i="17" s="1"/>
  <c r="M892" i="17" s="1"/>
  <c r="H891" i="17"/>
  <c r="L891" i="17" s="1"/>
  <c r="L890" i="17"/>
  <c r="M890" i="17" s="1"/>
  <c r="H888" i="17"/>
  <c r="L888" i="17" s="1"/>
  <c r="H887" i="17"/>
  <c r="L887" i="17" s="1"/>
  <c r="M887" i="17" s="1"/>
  <c r="H886" i="17"/>
  <c r="L886" i="17" s="1"/>
  <c r="L884" i="17"/>
  <c r="M884" i="17" s="1"/>
  <c r="H882" i="17"/>
  <c r="L882" i="17" s="1"/>
  <c r="H881" i="17"/>
  <c r="L881" i="17" s="1"/>
  <c r="M881" i="17" s="1"/>
  <c r="H880" i="17"/>
  <c r="L880" i="17" s="1"/>
  <c r="M880" i="17" s="1"/>
  <c r="H879" i="17"/>
  <c r="L879" i="17" s="1"/>
  <c r="H877" i="17"/>
  <c r="L877" i="17" s="1"/>
  <c r="H876" i="17"/>
  <c r="L876" i="17" s="1"/>
  <c r="M876" i="17" s="1"/>
  <c r="H875" i="17"/>
  <c r="L875" i="17" s="1"/>
  <c r="M875" i="17" s="1"/>
  <c r="H874" i="17"/>
  <c r="L874" i="17" s="1"/>
  <c r="H873" i="17"/>
  <c r="L873" i="17" s="1"/>
  <c r="M873" i="17" s="1"/>
  <c r="H872" i="17"/>
  <c r="L872" i="17" s="1"/>
  <c r="H871" i="17"/>
  <c r="L871" i="17" s="1"/>
  <c r="M871" i="17" s="1"/>
  <c r="H870" i="17"/>
  <c r="L870" i="17" s="1"/>
  <c r="M870" i="17" s="1"/>
  <c r="H869" i="17"/>
  <c r="L869" i="17" s="1"/>
  <c r="H868" i="17"/>
  <c r="L868" i="17" s="1"/>
  <c r="M868" i="17" s="1"/>
  <c r="H867" i="17"/>
  <c r="L867" i="17" s="1"/>
  <c r="H866" i="17"/>
  <c r="L866" i="17" s="1"/>
  <c r="M866" i="17" s="1"/>
  <c r="H865" i="17"/>
  <c r="L865" i="17" s="1"/>
  <c r="M865" i="17" s="1"/>
  <c r="H864" i="17"/>
  <c r="L864" i="17" s="1"/>
  <c r="H863" i="17"/>
  <c r="L863" i="17" s="1"/>
  <c r="M863" i="17" s="1"/>
  <c r="H862" i="17"/>
  <c r="L862" i="17" s="1"/>
  <c r="M862" i="17" s="1"/>
  <c r="H861" i="17"/>
  <c r="L861" i="17" s="1"/>
  <c r="M861" i="17" s="1"/>
  <c r="H860" i="17"/>
  <c r="L860" i="17" s="1"/>
  <c r="H859" i="17"/>
  <c r="L859" i="17" s="1"/>
  <c r="M859" i="17" s="1"/>
  <c r="H858" i="17"/>
  <c r="L858" i="17" s="1"/>
  <c r="H857" i="17"/>
  <c r="L857" i="17" s="1"/>
  <c r="M857" i="17" s="1"/>
  <c r="H856" i="17"/>
  <c r="L856" i="17" s="1"/>
  <c r="H855" i="17"/>
  <c r="L855" i="17" s="1"/>
  <c r="M855" i="17" s="1"/>
  <c r="H854" i="17"/>
  <c r="L854" i="17" s="1"/>
  <c r="H853" i="17"/>
  <c r="L853" i="17" s="1"/>
  <c r="M853" i="17" s="1"/>
  <c r="H852" i="17"/>
  <c r="L852" i="17" s="1"/>
  <c r="M852" i="17" s="1"/>
  <c r="H851" i="17"/>
  <c r="L851" i="17" s="1"/>
  <c r="H850" i="17"/>
  <c r="L850" i="17" s="1"/>
  <c r="M850" i="17" s="1"/>
  <c r="H849" i="17"/>
  <c r="L849" i="17" s="1"/>
  <c r="H848" i="17"/>
  <c r="L848" i="17" s="1"/>
  <c r="M848" i="17" s="1"/>
  <c r="H847" i="17"/>
  <c r="L847" i="17" s="1"/>
  <c r="H846" i="17"/>
  <c r="L846" i="17" s="1"/>
  <c r="M846" i="17" s="1"/>
  <c r="H845" i="17"/>
  <c r="L845" i="17" s="1"/>
  <c r="H844" i="17"/>
  <c r="L844" i="17" s="1"/>
  <c r="M844" i="17" s="1"/>
  <c r="H843" i="17"/>
  <c r="L843" i="17" s="1"/>
  <c r="H842" i="17"/>
  <c r="L842" i="17" s="1"/>
  <c r="H841" i="17"/>
  <c r="L841" i="17" s="1"/>
  <c r="H840" i="17"/>
  <c r="L840" i="17" s="1"/>
  <c r="M840" i="17" s="1"/>
  <c r="H839" i="17"/>
  <c r="L839" i="17" s="1"/>
  <c r="H838" i="17"/>
  <c r="L838" i="17" s="1"/>
  <c r="M838" i="17" s="1"/>
  <c r="H837" i="17"/>
  <c r="L837" i="17" s="1"/>
  <c r="M837" i="17" s="1"/>
  <c r="H836" i="17"/>
  <c r="L836" i="17" s="1"/>
  <c r="H835" i="17"/>
  <c r="L835" i="17" s="1"/>
  <c r="M835" i="17" s="1"/>
  <c r="H834" i="17"/>
  <c r="L834" i="17" s="1"/>
  <c r="H833" i="17"/>
  <c r="L833" i="17" s="1"/>
  <c r="M833" i="17" s="1"/>
  <c r="H832" i="17"/>
  <c r="L832" i="17" s="1"/>
  <c r="H831" i="17"/>
  <c r="L831" i="17" s="1"/>
  <c r="M831" i="17" s="1"/>
  <c r="H830" i="17"/>
  <c r="L830" i="17" s="1"/>
  <c r="M830" i="17" s="1"/>
  <c r="H829" i="17"/>
  <c r="L829" i="17" s="1"/>
  <c r="M829" i="17" s="1"/>
  <c r="H828" i="17"/>
  <c r="L828" i="17" s="1"/>
  <c r="M828" i="17" s="1"/>
  <c r="H826" i="17"/>
  <c r="L826" i="17" s="1"/>
  <c r="H825" i="17"/>
  <c r="L825" i="17" s="1"/>
  <c r="M825" i="17" s="1"/>
  <c r="H824" i="17"/>
  <c r="L824" i="17" s="1"/>
  <c r="M824" i="17" s="1"/>
  <c r="H823" i="17"/>
  <c r="L823" i="17" s="1"/>
  <c r="M823" i="17" s="1"/>
  <c r="H821" i="17"/>
  <c r="L821" i="17" s="1"/>
  <c r="H820" i="17"/>
  <c r="L820" i="17" s="1"/>
  <c r="M820" i="17" s="1"/>
  <c r="H819" i="17"/>
  <c r="L819" i="17" s="1"/>
  <c r="M819" i="17" s="1"/>
  <c r="H818" i="17"/>
  <c r="L818" i="17" s="1"/>
  <c r="M818" i="17" s="1"/>
  <c r="H815" i="17"/>
  <c r="L815" i="17" s="1"/>
  <c r="L814" i="17"/>
  <c r="M814" i="17" s="1"/>
  <c r="L813" i="17"/>
  <c r="M813" i="17" s="1"/>
  <c r="L812" i="17"/>
  <c r="M812" i="17" s="1"/>
  <c r="L811" i="17"/>
  <c r="M811" i="17" s="1"/>
  <c r="H809" i="17"/>
  <c r="L809" i="17" s="1"/>
  <c r="H807" i="17"/>
  <c r="L807" i="17" s="1"/>
  <c r="H806" i="17"/>
  <c r="L806" i="17" s="1"/>
  <c r="M806" i="17" s="1"/>
  <c r="H805" i="17"/>
  <c r="L805" i="17" s="1"/>
  <c r="H804" i="17"/>
  <c r="L804" i="17" s="1"/>
  <c r="M804" i="17" s="1"/>
  <c r="H803" i="17"/>
  <c r="L803" i="17" s="1"/>
  <c r="H802" i="17"/>
  <c r="L802" i="17" s="1"/>
  <c r="M802" i="17" s="1"/>
  <c r="H801" i="17"/>
  <c r="L801" i="17" s="1"/>
  <c r="H800" i="17"/>
  <c r="L800" i="17" s="1"/>
  <c r="M800" i="17" s="1"/>
  <c r="H799" i="17"/>
  <c r="L799" i="17" s="1"/>
  <c r="H798" i="17"/>
  <c r="L798" i="17" s="1"/>
  <c r="M798" i="17" s="1"/>
  <c r="H797" i="17"/>
  <c r="L797" i="17" s="1"/>
  <c r="M797" i="17" s="1"/>
  <c r="H796" i="17"/>
  <c r="L796" i="17" s="1"/>
  <c r="H795" i="17"/>
  <c r="L795" i="17" s="1"/>
  <c r="M795" i="17" s="1"/>
  <c r="H794" i="17"/>
  <c r="L794" i="17" s="1"/>
  <c r="H793" i="17"/>
  <c r="L793" i="17" s="1"/>
  <c r="M793" i="17" s="1"/>
  <c r="H792" i="17"/>
  <c r="L792" i="17" s="1"/>
  <c r="H791" i="17"/>
  <c r="L791" i="17" s="1"/>
  <c r="H790" i="17"/>
  <c r="L790" i="17" s="1"/>
  <c r="H788" i="17"/>
  <c r="L788" i="17" s="1"/>
  <c r="M788" i="17" s="1"/>
  <c r="H787" i="17"/>
  <c r="L787" i="17" s="1"/>
  <c r="H785" i="17"/>
  <c r="L785" i="17" s="1"/>
  <c r="H783" i="17"/>
  <c r="L783" i="17" s="1"/>
  <c r="H782" i="17"/>
  <c r="L782" i="17" s="1"/>
  <c r="H781" i="17"/>
  <c r="L781" i="17" s="1"/>
  <c r="H780" i="17"/>
  <c r="L780" i="17" s="1"/>
  <c r="H779" i="17"/>
  <c r="L779" i="17" s="1"/>
  <c r="M779" i="17" s="1"/>
  <c r="H778" i="17"/>
  <c r="L778" i="17" s="1"/>
  <c r="M778" i="17" s="1"/>
  <c r="H777" i="17"/>
  <c r="L777" i="17" s="1"/>
  <c r="H776" i="17"/>
  <c r="L776" i="17" s="1"/>
  <c r="H775" i="17"/>
  <c r="L775" i="17" s="1"/>
  <c r="M775" i="17" s="1"/>
  <c r="H774" i="17"/>
  <c r="L774" i="17" s="1"/>
  <c r="H773" i="17"/>
  <c r="L773" i="17" s="1"/>
  <c r="H772" i="17"/>
  <c r="L772" i="17" s="1"/>
  <c r="M772" i="17" s="1"/>
  <c r="H771" i="17"/>
  <c r="L771" i="17" s="1"/>
  <c r="H770" i="17"/>
  <c r="L770" i="17" s="1"/>
  <c r="H769" i="17"/>
  <c r="L769" i="17" s="1"/>
  <c r="M769" i="17" s="1"/>
  <c r="H768" i="17"/>
  <c r="L768" i="17" s="1"/>
  <c r="M768" i="17" s="1"/>
  <c r="H767" i="17"/>
  <c r="L767" i="17" s="1"/>
  <c r="M767" i="17" s="1"/>
  <c r="H766" i="17"/>
  <c r="L766" i="17" s="1"/>
  <c r="H765" i="17"/>
  <c r="L765" i="17" s="1"/>
  <c r="H764" i="17"/>
  <c r="L764" i="17" s="1"/>
  <c r="M764" i="17" s="1"/>
  <c r="H763" i="17"/>
  <c r="L763" i="17" s="1"/>
  <c r="H762" i="17"/>
  <c r="L762" i="17" s="1"/>
  <c r="H761" i="17"/>
  <c r="L761" i="17" s="1"/>
  <c r="M761" i="17" s="1"/>
  <c r="H760" i="17"/>
  <c r="L760" i="17" s="1"/>
  <c r="H759" i="17"/>
  <c r="L759" i="17" s="1"/>
  <c r="H758" i="17"/>
  <c r="L758" i="17" s="1"/>
  <c r="M758" i="17" s="1"/>
  <c r="H757" i="17"/>
  <c r="L757" i="17" s="1"/>
  <c r="H756" i="17"/>
  <c r="L756" i="17" s="1"/>
  <c r="H755" i="17"/>
  <c r="L755" i="17" s="1"/>
  <c r="M755" i="17" s="1"/>
  <c r="H754" i="17"/>
  <c r="L754" i="17" s="1"/>
  <c r="H751" i="17"/>
  <c r="L751" i="17" s="1"/>
  <c r="H750" i="17"/>
  <c r="L750" i="17" s="1"/>
  <c r="M750" i="17" s="1"/>
  <c r="H749" i="17"/>
  <c r="L749" i="17" s="1"/>
  <c r="M749" i="17" s="1"/>
  <c r="H748" i="17"/>
  <c r="L748" i="17" s="1"/>
  <c r="H747" i="17"/>
  <c r="L747" i="17" s="1"/>
  <c r="H746" i="17"/>
  <c r="L746" i="17" s="1"/>
  <c r="M746" i="17" s="1"/>
  <c r="H745" i="17"/>
  <c r="L745" i="17" s="1"/>
  <c r="M745" i="17" s="1"/>
  <c r="H744" i="17"/>
  <c r="L744" i="17" s="1"/>
  <c r="H743" i="17"/>
  <c r="L743" i="17" s="1"/>
  <c r="H742" i="17"/>
  <c r="L742" i="17" s="1"/>
  <c r="M742" i="17" s="1"/>
  <c r="H741" i="17"/>
  <c r="L741" i="17" s="1"/>
  <c r="M741" i="17" s="1"/>
  <c r="H740" i="17"/>
  <c r="L740" i="17" s="1"/>
  <c r="H739" i="17"/>
  <c r="L739" i="17" s="1"/>
  <c r="H738" i="17"/>
  <c r="L738" i="17" s="1"/>
  <c r="M738" i="17" s="1"/>
  <c r="H737" i="17"/>
  <c r="L737" i="17" s="1"/>
  <c r="H736" i="17"/>
  <c r="L736" i="17" s="1"/>
  <c r="H735" i="17"/>
  <c r="L735" i="17" s="1"/>
  <c r="M735" i="17" s="1"/>
  <c r="H734" i="17"/>
  <c r="L734" i="17" s="1"/>
  <c r="M734" i="17" s="1"/>
  <c r="H733" i="17"/>
  <c r="L733" i="17" s="1"/>
  <c r="H732" i="17"/>
  <c r="L732" i="17" s="1"/>
  <c r="H731" i="17"/>
  <c r="L731" i="17" s="1"/>
  <c r="M731" i="17" s="1"/>
  <c r="H730" i="17"/>
  <c r="L730" i="17" s="1"/>
  <c r="M730" i="17" s="1"/>
  <c r="H729" i="17"/>
  <c r="L729" i="17" s="1"/>
  <c r="H728" i="17"/>
  <c r="L728" i="17" s="1"/>
  <c r="L724" i="17"/>
  <c r="M724" i="17" s="1"/>
  <c r="H721" i="17"/>
  <c r="L721" i="17" s="1"/>
  <c r="H720" i="17"/>
  <c r="L720" i="17" s="1"/>
  <c r="H719" i="17"/>
  <c r="L719" i="17" s="1"/>
  <c r="H718" i="17"/>
  <c r="L718" i="17" s="1"/>
  <c r="H717" i="17"/>
  <c r="L717" i="17" s="1"/>
  <c r="H716" i="17"/>
  <c r="L716" i="17" s="1"/>
  <c r="H715" i="17"/>
  <c r="L715" i="17" s="1"/>
  <c r="M715" i="17" s="1"/>
  <c r="H714" i="17"/>
  <c r="L714" i="17" s="1"/>
  <c r="M714" i="17" s="1"/>
  <c r="H713" i="17"/>
  <c r="L713" i="17" s="1"/>
  <c r="H712" i="17"/>
  <c r="L712" i="17" s="1"/>
  <c r="H711" i="17"/>
  <c r="L711" i="17" s="1"/>
  <c r="M711" i="17" s="1"/>
  <c r="H710" i="17"/>
  <c r="L710" i="17" s="1"/>
  <c r="H709" i="17"/>
  <c r="L709" i="17" s="1"/>
  <c r="H708" i="17"/>
  <c r="L708" i="17" s="1"/>
  <c r="M708" i="17" s="1"/>
  <c r="H707" i="17"/>
  <c r="L707" i="17" s="1"/>
  <c r="M707" i="17" s="1"/>
  <c r="H706" i="17"/>
  <c r="L706" i="17" s="1"/>
  <c r="H705" i="17"/>
  <c r="L705" i="17" s="1"/>
  <c r="H704" i="17"/>
  <c r="L704" i="17" s="1"/>
  <c r="M704" i="17" s="1"/>
  <c r="H703" i="17"/>
  <c r="L703" i="17" s="1"/>
  <c r="M703" i="17" s="1"/>
  <c r="H702" i="17"/>
  <c r="L702" i="17" s="1"/>
  <c r="M702" i="17" s="1"/>
  <c r="H701" i="17"/>
  <c r="L701" i="17" s="1"/>
  <c r="M701" i="17" s="1"/>
  <c r="H700" i="17"/>
  <c r="L700" i="17" s="1"/>
  <c r="M700" i="17" s="1"/>
  <c r="H699" i="17"/>
  <c r="L699" i="17" s="1"/>
  <c r="M699" i="17" s="1"/>
  <c r="H698" i="17"/>
  <c r="L698" i="17" s="1"/>
  <c r="M698" i="17" s="1"/>
  <c r="H697" i="17"/>
  <c r="L697" i="17" s="1"/>
  <c r="M697" i="17" s="1"/>
  <c r="H695" i="17"/>
  <c r="L695" i="17" s="1"/>
  <c r="H694" i="17"/>
  <c r="L694" i="17" s="1"/>
  <c r="H693" i="17"/>
  <c r="L693" i="17" s="1"/>
  <c r="M693" i="17" s="1"/>
  <c r="H692" i="17"/>
  <c r="L692" i="17" s="1"/>
  <c r="M692" i="17" s="1"/>
  <c r="H691" i="17"/>
  <c r="L691" i="17" s="1"/>
  <c r="H688" i="17"/>
  <c r="L688" i="17" s="1"/>
  <c r="H687" i="17"/>
  <c r="L687" i="17" s="1"/>
  <c r="M687" i="17" s="1"/>
  <c r="H686" i="17"/>
  <c r="L686" i="17" s="1"/>
  <c r="H685" i="17"/>
  <c r="L685" i="17" s="1"/>
  <c r="H684" i="17"/>
  <c r="L684" i="17" s="1"/>
  <c r="M684" i="17" s="1"/>
  <c r="H683" i="17"/>
  <c r="L683" i="17" s="1"/>
  <c r="H682" i="17"/>
  <c r="L682" i="17" s="1"/>
  <c r="H681" i="17"/>
  <c r="L681" i="17" s="1"/>
  <c r="M681" i="17" s="1"/>
  <c r="H680" i="17"/>
  <c r="L680" i="17" s="1"/>
  <c r="H679" i="17"/>
  <c r="L679" i="17" s="1"/>
  <c r="H678" i="17"/>
  <c r="L678" i="17" s="1"/>
  <c r="M678" i="17" s="1"/>
  <c r="H677" i="17"/>
  <c r="L677" i="17" s="1"/>
  <c r="H676" i="17"/>
  <c r="L676" i="17" s="1"/>
  <c r="H675" i="17"/>
  <c r="L675" i="17" s="1"/>
  <c r="M675" i="17" s="1"/>
  <c r="H674" i="17"/>
  <c r="L674" i="17" s="1"/>
  <c r="H673" i="17"/>
  <c r="L673" i="17" s="1"/>
  <c r="H672" i="17"/>
  <c r="L672" i="17" s="1"/>
  <c r="H671" i="17"/>
  <c r="L671" i="17" s="1"/>
  <c r="H670" i="17"/>
  <c r="L670" i="17" s="1"/>
  <c r="M670" i="17" s="1"/>
  <c r="H669" i="17"/>
  <c r="L669" i="17" s="1"/>
  <c r="M669" i="17" s="1"/>
  <c r="H668" i="17"/>
  <c r="L668" i="17" s="1"/>
  <c r="M668" i="17" s="1"/>
  <c r="H666" i="17"/>
  <c r="L666" i="17" s="1"/>
  <c r="H663" i="17"/>
  <c r="L663" i="17" s="1"/>
  <c r="H662" i="17"/>
  <c r="L662" i="17" s="1"/>
  <c r="H661" i="17"/>
  <c r="L661" i="17" s="1"/>
  <c r="M661" i="17" s="1"/>
  <c r="H660" i="17"/>
  <c r="L660" i="17" s="1"/>
  <c r="M660" i="17" s="1"/>
  <c r="H659" i="17"/>
  <c r="L659" i="17" s="1"/>
  <c r="H658" i="17"/>
  <c r="L658" i="17" s="1"/>
  <c r="M658" i="17" s="1"/>
  <c r="H657" i="17"/>
  <c r="L657" i="17" s="1"/>
  <c r="M657" i="17" s="1"/>
  <c r="H656" i="17"/>
  <c r="L656" i="17" s="1"/>
  <c r="H655" i="17"/>
  <c r="L655" i="17" s="1"/>
  <c r="H654" i="17"/>
  <c r="L654" i="17" s="1"/>
  <c r="M654" i="17" s="1"/>
  <c r="H653" i="17"/>
  <c r="L653" i="17" s="1"/>
  <c r="H652" i="17"/>
  <c r="L652" i="17" s="1"/>
  <c r="L645" i="17"/>
  <c r="M645" i="17" s="1"/>
  <c r="H642" i="17"/>
  <c r="L642" i="17" s="1"/>
  <c r="H641" i="17"/>
  <c r="L641" i="17" s="1"/>
  <c r="H640" i="17"/>
  <c r="L640" i="17" s="1"/>
  <c r="M640" i="17" s="1"/>
  <c r="H639" i="17"/>
  <c r="L639" i="17" s="1"/>
  <c r="H638" i="17"/>
  <c r="L638" i="17" s="1"/>
  <c r="H637" i="17"/>
  <c r="L637" i="17" s="1"/>
  <c r="M637" i="17" s="1"/>
  <c r="H636" i="17"/>
  <c r="L636" i="17" s="1"/>
  <c r="H635" i="17"/>
  <c r="L635" i="17" s="1"/>
  <c r="H634" i="17"/>
  <c r="L634" i="17" s="1"/>
  <c r="M634" i="17" s="1"/>
  <c r="H633" i="17"/>
  <c r="L633" i="17" s="1"/>
  <c r="H632" i="17"/>
  <c r="L632" i="17" s="1"/>
  <c r="H631" i="17"/>
  <c r="L631" i="17" s="1"/>
  <c r="M631" i="17" s="1"/>
  <c r="H630" i="17"/>
  <c r="L630" i="17" s="1"/>
  <c r="H626" i="17"/>
  <c r="L626" i="17" s="1"/>
  <c r="H623" i="17"/>
  <c r="L623" i="17" s="1"/>
  <c r="H622" i="17"/>
  <c r="L622" i="17" s="1"/>
  <c r="M622" i="17" s="1"/>
  <c r="H618" i="17"/>
  <c r="L618" i="17" s="1"/>
  <c r="M618" i="17" s="1"/>
  <c r="H616" i="17"/>
  <c r="L616" i="17" s="1"/>
  <c r="H615" i="17"/>
  <c r="L615" i="17" s="1"/>
  <c r="H614" i="17"/>
  <c r="L614" i="17" s="1"/>
  <c r="H613" i="17"/>
  <c r="L613" i="17" s="1"/>
  <c r="H612" i="17"/>
  <c r="L612" i="17" s="1"/>
  <c r="M612" i="17" s="1"/>
  <c r="H611" i="17"/>
  <c r="L611" i="17" s="1"/>
  <c r="M611" i="17" s="1"/>
  <c r="H610" i="17"/>
  <c r="L610" i="17" s="1"/>
  <c r="M610" i="17" s="1"/>
  <c r="H609" i="17"/>
  <c r="L609" i="17" s="1"/>
  <c r="H608" i="17"/>
  <c r="L608" i="17" s="1"/>
  <c r="M608" i="17" s="1"/>
  <c r="H607" i="17"/>
  <c r="L607" i="17" s="1"/>
  <c r="H606" i="17"/>
  <c r="L606" i="17" s="1"/>
  <c r="M606" i="17" s="1"/>
  <c r="H605" i="17"/>
  <c r="L605" i="17" s="1"/>
  <c r="H604" i="17"/>
  <c r="L604" i="17" s="1"/>
  <c r="M604" i="17" s="1"/>
  <c r="H603" i="17"/>
  <c r="L603" i="17" s="1"/>
  <c r="H602" i="17"/>
  <c r="L602" i="17" s="1"/>
  <c r="M602" i="17" s="1"/>
  <c r="H601" i="17"/>
  <c r="L601" i="17" s="1"/>
  <c r="H599" i="17"/>
  <c r="L599" i="17" s="1"/>
  <c r="H598" i="17"/>
  <c r="L598" i="17" s="1"/>
  <c r="M598" i="17" s="1"/>
  <c r="H597" i="17"/>
  <c r="L597" i="17" s="1"/>
  <c r="M597" i="17" s="1"/>
  <c r="H596" i="17"/>
  <c r="L596" i="17" s="1"/>
  <c r="H595" i="17"/>
  <c r="L595" i="17" s="1"/>
  <c r="H594" i="17"/>
  <c r="L594" i="17" s="1"/>
  <c r="H592" i="17"/>
  <c r="L592" i="17" s="1"/>
  <c r="M592" i="17" s="1"/>
  <c r="H591" i="17"/>
  <c r="L591" i="17" s="1"/>
  <c r="M591" i="17" s="1"/>
  <c r="H590" i="17"/>
  <c r="L590" i="17" s="1"/>
  <c r="M590" i="17" s="1"/>
  <c r="H589" i="17"/>
  <c r="L589" i="17" s="1"/>
  <c r="M589" i="17" s="1"/>
  <c r="H588" i="17"/>
  <c r="L588" i="17" s="1"/>
  <c r="M588" i="17" s="1"/>
  <c r="H587" i="17"/>
  <c r="L587" i="17" s="1"/>
  <c r="M587" i="17" s="1"/>
  <c r="H586" i="17"/>
  <c r="L586" i="17" s="1"/>
  <c r="M586" i="17" s="1"/>
  <c r="H585" i="17"/>
  <c r="L585" i="17" s="1"/>
  <c r="M585" i="17" s="1"/>
  <c r="H583" i="17"/>
  <c r="L583" i="17" s="1"/>
  <c r="M583" i="17" s="1"/>
  <c r="H582" i="17"/>
  <c r="L582" i="17" s="1"/>
  <c r="M582" i="17" s="1"/>
  <c r="H581" i="17"/>
  <c r="L581" i="17" s="1"/>
  <c r="M581" i="17" s="1"/>
  <c r="H580" i="17"/>
  <c r="L580" i="17" s="1"/>
  <c r="M580" i="17" s="1"/>
  <c r="H579" i="17"/>
  <c r="L579" i="17" s="1"/>
  <c r="M579" i="17" s="1"/>
  <c r="H578" i="17"/>
  <c r="L578" i="17" s="1"/>
  <c r="M578" i="17" s="1"/>
  <c r="H576" i="17"/>
  <c r="L576" i="17" s="1"/>
  <c r="M576" i="17" s="1"/>
  <c r="H575" i="17"/>
  <c r="L575" i="17" s="1"/>
  <c r="M575" i="17" s="1"/>
  <c r="H574" i="17"/>
  <c r="L574" i="17" s="1"/>
  <c r="M574" i="17" s="1"/>
  <c r="H572" i="17"/>
  <c r="L572" i="17" s="1"/>
  <c r="M572" i="17" s="1"/>
  <c r="H571" i="17"/>
  <c r="L571" i="17" s="1"/>
  <c r="M571" i="17" s="1"/>
  <c r="H568" i="17"/>
  <c r="L568" i="17" s="1"/>
  <c r="H567" i="17"/>
  <c r="L567" i="17" s="1"/>
  <c r="H566" i="17"/>
  <c r="L566" i="17" s="1"/>
  <c r="H565" i="17"/>
  <c r="L565" i="17" s="1"/>
  <c r="H564" i="17"/>
  <c r="L564" i="17" s="1"/>
  <c r="M564" i="17" s="1"/>
  <c r="H563" i="17"/>
  <c r="L563" i="17" s="1"/>
  <c r="M563" i="17" s="1"/>
  <c r="H562" i="17"/>
  <c r="L562" i="17" s="1"/>
  <c r="M562" i="17" s="1"/>
  <c r="H561" i="17"/>
  <c r="L561" i="17" s="1"/>
  <c r="M561" i="17" s="1"/>
  <c r="H560" i="17"/>
  <c r="L560" i="17" s="1"/>
  <c r="M560" i="17" s="1"/>
  <c r="H559" i="17"/>
  <c r="L559" i="17" s="1"/>
  <c r="M559" i="17" s="1"/>
  <c r="H558" i="17"/>
  <c r="L558" i="17" s="1"/>
  <c r="M558" i="17" s="1"/>
  <c r="H557" i="17"/>
  <c r="L557" i="17" s="1"/>
  <c r="M557" i="17" s="1"/>
  <c r="H556" i="17"/>
  <c r="L556" i="17" s="1"/>
  <c r="M556" i="17" s="1"/>
  <c r="H555" i="17"/>
  <c r="L555" i="17" s="1"/>
  <c r="M555" i="17" s="1"/>
  <c r="H554" i="17"/>
  <c r="L554" i="17" s="1"/>
  <c r="M554" i="17" s="1"/>
  <c r="H553" i="17"/>
  <c r="L553" i="17" s="1"/>
  <c r="M553" i="17" s="1"/>
  <c r="H552" i="17"/>
  <c r="L552" i="17" s="1"/>
  <c r="M552" i="17" s="1"/>
  <c r="H551" i="17"/>
  <c r="L551" i="17" s="1"/>
  <c r="M551" i="17" s="1"/>
  <c r="H550" i="17"/>
  <c r="L550" i="17" s="1"/>
  <c r="M550" i="17" s="1"/>
  <c r="H548" i="17"/>
  <c r="L548" i="17" s="1"/>
  <c r="H547" i="17"/>
  <c r="L547" i="17" s="1"/>
  <c r="H546" i="17"/>
  <c r="L546" i="17" s="1"/>
  <c r="H545" i="17"/>
  <c r="L545" i="17" s="1"/>
  <c r="H543" i="17"/>
  <c r="L543" i="17" s="1"/>
  <c r="H542" i="17"/>
  <c r="L542" i="17" s="1"/>
  <c r="M542" i="17" s="1"/>
  <c r="H541" i="17"/>
  <c r="L541" i="17" s="1"/>
  <c r="H540" i="17"/>
  <c r="L540" i="17" s="1"/>
  <c r="M540" i="17" s="1"/>
  <c r="H539" i="17"/>
  <c r="L539" i="17" s="1"/>
  <c r="M539" i="17" s="1"/>
  <c r="H538" i="17"/>
  <c r="L538" i="17" s="1"/>
  <c r="M538" i="17" s="1"/>
  <c r="H536" i="17"/>
  <c r="L536" i="17" s="1"/>
  <c r="M536" i="17" s="1"/>
  <c r="H535" i="17"/>
  <c r="L535" i="17" s="1"/>
  <c r="M535" i="17" s="1"/>
  <c r="H534" i="17"/>
  <c r="L534" i="17" s="1"/>
  <c r="H533" i="17"/>
  <c r="L533" i="17" s="1"/>
  <c r="M533" i="17" s="1"/>
  <c r="H532" i="17"/>
  <c r="L532" i="17" s="1"/>
  <c r="H531" i="17"/>
  <c r="L531" i="17" s="1"/>
  <c r="M531" i="17" s="1"/>
  <c r="H530" i="17"/>
  <c r="L530" i="17" s="1"/>
  <c r="M530" i="17" s="1"/>
  <c r="H529" i="17"/>
  <c r="L529" i="17" s="1"/>
  <c r="M529" i="17" s="1"/>
  <c r="H528" i="17"/>
  <c r="L528" i="17" s="1"/>
  <c r="H527" i="17"/>
  <c r="L527" i="17" s="1"/>
  <c r="M527" i="17" s="1"/>
  <c r="H526" i="17"/>
  <c r="L526" i="17" s="1"/>
  <c r="M526" i="17" s="1"/>
  <c r="H525" i="17"/>
  <c r="L525" i="17" s="1"/>
  <c r="H524" i="17"/>
  <c r="L524" i="17" s="1"/>
  <c r="M524" i="17" s="1"/>
  <c r="H523" i="17"/>
  <c r="L523" i="17" s="1"/>
  <c r="M523" i="17" s="1"/>
  <c r="H522" i="17"/>
  <c r="L522" i="17" s="1"/>
  <c r="M522" i="17" s="1"/>
  <c r="H521" i="17"/>
  <c r="L521" i="17" s="1"/>
  <c r="H520" i="17"/>
  <c r="L520" i="17" s="1"/>
  <c r="M520" i="17" s="1"/>
  <c r="H518" i="17"/>
  <c r="L518" i="17" s="1"/>
  <c r="H517" i="17"/>
  <c r="L517" i="17" s="1"/>
  <c r="M517" i="17" s="1"/>
  <c r="H516" i="17"/>
  <c r="L516" i="17" s="1"/>
  <c r="M516" i="17" s="1"/>
  <c r="H515" i="17"/>
  <c r="L515" i="17" s="1"/>
  <c r="H513" i="17"/>
  <c r="L513" i="17" s="1"/>
  <c r="H512" i="17"/>
  <c r="L512" i="17" s="1"/>
  <c r="M512" i="17" s="1"/>
  <c r="H511" i="17"/>
  <c r="L511" i="17" s="1"/>
  <c r="M511" i="17" s="1"/>
  <c r="H510" i="17"/>
  <c r="L510" i="17" s="1"/>
  <c r="H509" i="17"/>
  <c r="L509" i="17" s="1"/>
  <c r="H506" i="17"/>
  <c r="L506" i="17" s="1"/>
  <c r="H505" i="17"/>
  <c r="L505" i="17" s="1"/>
  <c r="M505" i="17" s="1"/>
  <c r="H504" i="17"/>
  <c r="L504" i="17" s="1"/>
  <c r="H503" i="17"/>
  <c r="L503" i="17" s="1"/>
  <c r="H501" i="17"/>
  <c r="L501" i="17" s="1"/>
  <c r="H498" i="17"/>
  <c r="L498" i="17" s="1"/>
  <c r="H497" i="17"/>
  <c r="L497" i="17" s="1"/>
  <c r="H496" i="17"/>
  <c r="L496" i="17" s="1"/>
  <c r="M496" i="17" s="1"/>
  <c r="H495" i="17"/>
  <c r="L495" i="17" s="1"/>
  <c r="M495" i="17" s="1"/>
  <c r="H494" i="17"/>
  <c r="L494" i="17" s="1"/>
  <c r="H493" i="17"/>
  <c r="L493" i="17" s="1"/>
  <c r="H490" i="17"/>
  <c r="L490" i="17" s="1"/>
  <c r="H489" i="17"/>
  <c r="L489" i="17" s="1"/>
  <c r="H488" i="17"/>
  <c r="L488" i="17" s="1"/>
  <c r="M488" i="17" s="1"/>
  <c r="H487" i="17"/>
  <c r="L487" i="17" s="1"/>
  <c r="M487" i="17" s="1"/>
  <c r="H486" i="17"/>
  <c r="L486" i="17" s="1"/>
  <c r="H485" i="17"/>
  <c r="L485" i="17" s="1"/>
  <c r="H481" i="17"/>
  <c r="L481" i="17" s="1"/>
  <c r="H480" i="17"/>
  <c r="L480" i="17" s="1"/>
  <c r="M480" i="17" s="1"/>
  <c r="H479" i="17"/>
  <c r="L479" i="17" s="1"/>
  <c r="M479" i="17" s="1"/>
  <c r="H478" i="17"/>
  <c r="L478" i="17" s="1"/>
  <c r="H477" i="17"/>
  <c r="L477" i="17" s="1"/>
  <c r="H476" i="17"/>
  <c r="L476" i="17" s="1"/>
  <c r="H475" i="17"/>
  <c r="L475" i="17" s="1"/>
  <c r="M475" i="17" s="1"/>
  <c r="H473" i="17"/>
  <c r="L473" i="17" s="1"/>
  <c r="H472" i="17"/>
  <c r="L472" i="17" s="1"/>
  <c r="M472" i="17" s="1"/>
  <c r="H470" i="17"/>
  <c r="L470" i="17" s="1"/>
  <c r="H469" i="17"/>
  <c r="L469" i="17" s="1"/>
  <c r="M469" i="17" s="1"/>
  <c r="H468" i="17"/>
  <c r="L468" i="17" s="1"/>
  <c r="M468" i="17" s="1"/>
  <c r="H467" i="17"/>
  <c r="L467" i="17" s="1"/>
  <c r="H466" i="17"/>
  <c r="L466" i="17" s="1"/>
  <c r="M466" i="17" s="1"/>
  <c r="H465" i="17"/>
  <c r="L465" i="17" s="1"/>
  <c r="M465" i="17" s="1"/>
  <c r="H464" i="17"/>
  <c r="L464" i="17" s="1"/>
  <c r="H463" i="17"/>
  <c r="L463" i="17" s="1"/>
  <c r="M463" i="17" s="1"/>
  <c r="H462" i="17"/>
  <c r="L462" i="17" s="1"/>
  <c r="M462" i="17" s="1"/>
  <c r="H460" i="17"/>
  <c r="L460" i="17" s="1"/>
  <c r="H459" i="17"/>
  <c r="L459" i="17" s="1"/>
  <c r="M459" i="17" s="1"/>
  <c r="H458" i="17"/>
  <c r="L458" i="17" s="1"/>
  <c r="M458" i="17" s="1"/>
  <c r="H456" i="17"/>
  <c r="L456" i="17" s="1"/>
  <c r="H453" i="17"/>
  <c r="L453" i="17" s="1"/>
  <c r="M453" i="17" s="1"/>
  <c r="H452" i="17"/>
  <c r="L452" i="17" s="1"/>
  <c r="M452" i="17" s="1"/>
  <c r="H447" i="17"/>
  <c r="H446" i="17"/>
  <c r="L446" i="17" s="1"/>
  <c r="H445" i="17"/>
  <c r="L445" i="17" s="1"/>
  <c r="H444" i="17"/>
  <c r="L444" i="17" s="1"/>
  <c r="H443" i="17"/>
  <c r="L443" i="17" s="1"/>
  <c r="H442" i="17"/>
  <c r="L442" i="17" s="1"/>
  <c r="H441" i="17"/>
  <c r="L441" i="17" s="1"/>
  <c r="H440" i="17"/>
  <c r="L440" i="17" s="1"/>
  <c r="H439" i="17"/>
  <c r="L439" i="17" s="1"/>
  <c r="H438" i="17"/>
  <c r="L438" i="17" s="1"/>
  <c r="M438" i="17" s="1"/>
  <c r="H437" i="17"/>
  <c r="L437" i="17" s="1"/>
  <c r="H435" i="17"/>
  <c r="L435" i="17" s="1"/>
  <c r="M435" i="17" s="1"/>
  <c r="H434" i="17"/>
  <c r="L434" i="17" s="1"/>
  <c r="H433" i="17"/>
  <c r="L433" i="17" s="1"/>
  <c r="M433" i="17" s="1"/>
  <c r="H432" i="17"/>
  <c r="L432" i="17" s="1"/>
  <c r="H431" i="17"/>
  <c r="L431" i="17" s="1"/>
  <c r="M431" i="17" s="1"/>
  <c r="H430" i="17"/>
  <c r="L430" i="17" s="1"/>
  <c r="M430" i="17" s="1"/>
  <c r="H429" i="17"/>
  <c r="L429" i="17" s="1"/>
  <c r="H428" i="17"/>
  <c r="L428" i="17" s="1"/>
  <c r="M428" i="17" s="1"/>
  <c r="H427" i="17"/>
  <c r="L427" i="17" s="1"/>
  <c r="H425" i="17"/>
  <c r="L425" i="17" s="1"/>
  <c r="M425" i="17" s="1"/>
  <c r="H424" i="17"/>
  <c r="L424" i="17" s="1"/>
  <c r="H423" i="17"/>
  <c r="L423" i="17" s="1"/>
  <c r="M423" i="17" s="1"/>
  <c r="H422" i="17"/>
  <c r="L422" i="17" s="1"/>
  <c r="M422" i="17" s="1"/>
  <c r="H421" i="17"/>
  <c r="L421" i="17" s="1"/>
  <c r="H420" i="17"/>
  <c r="L420" i="17" s="1"/>
  <c r="M420" i="17" s="1"/>
  <c r="H419" i="17"/>
  <c r="L419" i="17" s="1"/>
  <c r="H413" i="17"/>
  <c r="L413" i="17" s="1"/>
  <c r="M413" i="17" s="1"/>
  <c r="H412" i="17"/>
  <c r="L412" i="17" s="1"/>
  <c r="M412" i="17" s="1"/>
  <c r="H411" i="17"/>
  <c r="L411" i="17" s="1"/>
  <c r="H410" i="17"/>
  <c r="L410" i="17" s="1"/>
  <c r="M410" i="17" s="1"/>
  <c r="H418" i="17"/>
  <c r="L418" i="17" s="1"/>
  <c r="H417" i="17"/>
  <c r="L417" i="17" s="1"/>
  <c r="M417" i="17" s="1"/>
  <c r="H416" i="17"/>
  <c r="L416" i="17" s="1"/>
  <c r="H415" i="17"/>
  <c r="L415" i="17" s="1"/>
  <c r="M415" i="17" s="1"/>
  <c r="H414" i="17"/>
  <c r="L414" i="17" s="1"/>
  <c r="H408" i="17"/>
  <c r="L408" i="17" s="1"/>
  <c r="M408" i="17" s="1"/>
  <c r="H407" i="17"/>
  <c r="L407" i="17" s="1"/>
  <c r="M407" i="17" s="1"/>
  <c r="H406" i="17"/>
  <c r="L406" i="17" s="1"/>
  <c r="H405" i="17"/>
  <c r="L405" i="17" s="1"/>
  <c r="M405" i="17" s="1"/>
  <c r="H404" i="17"/>
  <c r="L404" i="17" s="1"/>
  <c r="H403" i="17"/>
  <c r="L403" i="17" s="1"/>
  <c r="M403" i="17" s="1"/>
  <c r="H402" i="17"/>
  <c r="L402" i="17" s="1"/>
  <c r="M402" i="17" s="1"/>
  <c r="H401" i="17"/>
  <c r="L401" i="17" s="1"/>
  <c r="H400" i="17"/>
  <c r="L400" i="17" s="1"/>
  <c r="M400" i="17" s="1"/>
  <c r="H399" i="17"/>
  <c r="L399" i="17" s="1"/>
  <c r="M399" i="17" s="1"/>
  <c r="H398" i="17"/>
  <c r="L398" i="17" s="1"/>
  <c r="M398" i="17" s="1"/>
  <c r="H397" i="17"/>
  <c r="L397" i="17" s="1"/>
  <c r="M397" i="17" s="1"/>
  <c r="H396" i="17"/>
  <c r="L396" i="17" s="1"/>
  <c r="M396" i="17" s="1"/>
  <c r="H395" i="17"/>
  <c r="L395" i="17" s="1"/>
  <c r="M395" i="17" s="1"/>
  <c r="H394" i="17"/>
  <c r="L394" i="17" s="1"/>
  <c r="M394" i="17" s="1"/>
  <c r="H393" i="17"/>
  <c r="L393" i="17" s="1"/>
  <c r="M393" i="17" s="1"/>
  <c r="H392" i="17"/>
  <c r="L392" i="17" s="1"/>
  <c r="M392" i="17" s="1"/>
  <c r="H391" i="17"/>
  <c r="L391" i="17" s="1"/>
  <c r="M391" i="17" s="1"/>
  <c r="H390" i="17"/>
  <c r="L390" i="17" s="1"/>
  <c r="M390" i="17" s="1"/>
  <c r="H388" i="17"/>
  <c r="L388" i="17" s="1"/>
  <c r="H387" i="17"/>
  <c r="L387" i="17" s="1"/>
  <c r="M387" i="17" s="1"/>
  <c r="H386" i="17"/>
  <c r="L386" i="17" s="1"/>
  <c r="M386" i="17" s="1"/>
  <c r="H385" i="17"/>
  <c r="L385" i="17" s="1"/>
  <c r="H384" i="17"/>
  <c r="L384" i="17" s="1"/>
  <c r="M384" i="17" s="1"/>
  <c r="H383" i="17"/>
  <c r="L383" i="17" s="1"/>
  <c r="H382" i="17"/>
  <c r="L382" i="17" s="1"/>
  <c r="M382" i="17" s="1"/>
  <c r="H381" i="17"/>
  <c r="L381" i="17" s="1"/>
  <c r="M381" i="17" s="1"/>
  <c r="H379" i="17"/>
  <c r="L379" i="17" s="1"/>
  <c r="M379" i="17" s="1"/>
  <c r="H378" i="17"/>
  <c r="L378" i="17" s="1"/>
  <c r="H373" i="17"/>
  <c r="L373" i="17" s="1"/>
  <c r="H371" i="17"/>
  <c r="L371" i="17" s="1"/>
  <c r="H368" i="17"/>
  <c r="L368" i="17" s="1"/>
  <c r="H367" i="17"/>
  <c r="L367" i="17" s="1"/>
  <c r="L363" i="17"/>
  <c r="H361" i="17"/>
  <c r="L361" i="17" s="1"/>
  <c r="H354" i="17"/>
  <c r="L354" i="17" s="1"/>
  <c r="H353" i="17"/>
  <c r="L353" i="17" s="1"/>
  <c r="H350" i="17"/>
  <c r="L350" i="17" s="1"/>
  <c r="H345" i="17"/>
  <c r="L345" i="17" s="1"/>
  <c r="H344" i="17"/>
  <c r="L344" i="17" s="1"/>
  <c r="M344" i="17" s="1"/>
  <c r="H343" i="17"/>
  <c r="L343" i="17" s="1"/>
  <c r="H342" i="17"/>
  <c r="L342" i="17" s="1"/>
  <c r="M342" i="17" s="1"/>
  <c r="H340" i="17"/>
  <c r="L340" i="17" s="1"/>
  <c r="H339" i="17"/>
  <c r="L339" i="17" s="1"/>
  <c r="M339" i="17" s="1"/>
  <c r="L338" i="17"/>
  <c r="H336" i="17"/>
  <c r="L336" i="17" s="1"/>
  <c r="H332" i="17"/>
  <c r="L332" i="17" s="1"/>
  <c r="L331" i="17"/>
  <c r="M331" i="17" s="1"/>
  <c r="H330" i="17"/>
  <c r="L330" i="17" s="1"/>
  <c r="H324" i="17"/>
  <c r="L324" i="17" s="1"/>
  <c r="H321" i="17"/>
  <c r="L321" i="17" s="1"/>
  <c r="M321" i="17" s="1"/>
  <c r="H320" i="17"/>
  <c r="L320" i="17" s="1"/>
  <c r="M320" i="17" s="1"/>
  <c r="H316" i="17"/>
  <c r="L316" i="17" s="1"/>
  <c r="M316" i="17" s="1"/>
  <c r="H314" i="17"/>
  <c r="L314" i="17" s="1"/>
  <c r="H313" i="17"/>
  <c r="L313" i="17" s="1"/>
  <c r="H312" i="17"/>
  <c r="L312" i="17" s="1"/>
  <c r="H311" i="17"/>
  <c r="L311" i="17" s="1"/>
  <c r="H310" i="17"/>
  <c r="L310" i="17" s="1"/>
  <c r="M310" i="17" s="1"/>
  <c r="H309" i="17"/>
  <c r="L309" i="17" s="1"/>
  <c r="H307" i="17"/>
  <c r="L307" i="17" s="1"/>
  <c r="H306" i="17"/>
  <c r="L306" i="17" s="1"/>
  <c r="M306" i="17" s="1"/>
  <c r="H305" i="17"/>
  <c r="L305" i="17" s="1"/>
  <c r="M305" i="17" s="1"/>
  <c r="H304" i="17"/>
  <c r="L304" i="17" s="1"/>
  <c r="H301" i="17"/>
  <c r="L301" i="17" s="1"/>
  <c r="M301" i="17" s="1"/>
  <c r="H298" i="17"/>
  <c r="L298" i="17" s="1"/>
  <c r="M298" i="17" s="1"/>
  <c r="H296" i="17"/>
  <c r="L296" i="17" s="1"/>
  <c r="H295" i="17"/>
  <c r="L295" i="17" s="1"/>
  <c r="H294" i="17"/>
  <c r="L294" i="17" s="1"/>
  <c r="H293" i="17"/>
  <c r="L293" i="17" s="1"/>
  <c r="H292" i="17"/>
  <c r="L292" i="17" s="1"/>
  <c r="M292" i="17" s="1"/>
  <c r="H291" i="17"/>
  <c r="L291" i="17" s="1"/>
  <c r="H290" i="17"/>
  <c r="L290" i="17" s="1"/>
  <c r="H288" i="17"/>
  <c r="L288" i="17" s="1"/>
  <c r="H287" i="17"/>
  <c r="L287" i="17" s="1"/>
  <c r="H285" i="17"/>
  <c r="L285" i="17" s="1"/>
  <c r="H284" i="17"/>
  <c r="L284" i="17" s="1"/>
  <c r="L283" i="17"/>
  <c r="M283" i="17" s="1"/>
  <c r="H281" i="17"/>
  <c r="L281" i="17" s="1"/>
  <c r="H280" i="17"/>
  <c r="L280" i="17" s="1"/>
  <c r="H279" i="17"/>
  <c r="L279" i="17" s="1"/>
  <c r="M279" i="17" s="1"/>
  <c r="H278" i="17"/>
  <c r="L278" i="17" s="1"/>
  <c r="M278" i="17" s="1"/>
  <c r="H277" i="17"/>
  <c r="L277" i="17" s="1"/>
  <c r="H273" i="17"/>
  <c r="L273" i="17" s="1"/>
  <c r="H272" i="17"/>
  <c r="L272" i="17" s="1"/>
  <c r="M272" i="17" s="1"/>
  <c r="H270" i="17"/>
  <c r="L270" i="17" s="1"/>
  <c r="H266" i="17"/>
  <c r="L266" i="17" s="1"/>
  <c r="H265" i="17"/>
  <c r="L265" i="17" s="1"/>
  <c r="M265" i="17" s="1"/>
  <c r="H264" i="17"/>
  <c r="L264" i="17" s="1"/>
  <c r="H263" i="17"/>
  <c r="L263" i="17" s="1"/>
  <c r="M263" i="17" s="1"/>
  <c r="H262" i="17"/>
  <c r="L262" i="17" s="1"/>
  <c r="M262" i="17" s="1"/>
  <c r="H261" i="17"/>
  <c r="L261" i="17" s="1"/>
  <c r="H260" i="17"/>
  <c r="L260" i="17" s="1"/>
  <c r="M260" i="17" s="1"/>
  <c r="H259" i="17"/>
  <c r="L259" i="17" s="1"/>
  <c r="H256" i="17"/>
  <c r="L256" i="17" s="1"/>
  <c r="M256" i="17" s="1"/>
  <c r="H255" i="17"/>
  <c r="L255" i="17" s="1"/>
  <c r="H254" i="17"/>
  <c r="L254" i="17" s="1"/>
  <c r="M254" i="17" s="1"/>
  <c r="H253" i="17"/>
  <c r="L253" i="17" s="1"/>
  <c r="H246" i="17"/>
  <c r="L246" i="17" s="1"/>
  <c r="M246" i="17" s="1"/>
  <c r="H244" i="17"/>
  <c r="L244" i="17" s="1"/>
  <c r="H251" i="17"/>
  <c r="L251" i="17" s="1"/>
  <c r="H252" i="17"/>
  <c r="L252" i="17" s="1"/>
  <c r="H250" i="17"/>
  <c r="L250" i="17" s="1"/>
  <c r="M250" i="17" s="1"/>
  <c r="H245" i="17"/>
  <c r="L245" i="17" s="1"/>
  <c r="M245" i="17" s="1"/>
  <c r="H241" i="17"/>
  <c r="H240" i="17"/>
  <c r="L240" i="17" s="1"/>
  <c r="M240" i="17" s="1"/>
  <c r="H249" i="17"/>
  <c r="L249" i="17" s="1"/>
  <c r="M249" i="17" s="1"/>
  <c r="H248" i="17"/>
  <c r="L248" i="17" s="1"/>
  <c r="M248" i="17" s="1"/>
  <c r="H247" i="17"/>
  <c r="L247" i="17" s="1"/>
  <c r="M247" i="17" s="1"/>
  <c r="H238" i="17"/>
  <c r="L238" i="17" s="1"/>
  <c r="H237" i="17"/>
  <c r="L237" i="17" s="1"/>
  <c r="M237" i="17" s="1"/>
  <c r="H236" i="17"/>
  <c r="L236" i="17" s="1"/>
  <c r="M236" i="17" s="1"/>
  <c r="H235" i="17"/>
  <c r="L235" i="17" s="1"/>
  <c r="M235" i="17" s="1"/>
  <c r="H234" i="17"/>
  <c r="L234" i="17" s="1"/>
  <c r="M234" i="17" s="1"/>
  <c r="H232" i="17"/>
  <c r="L232" i="17" s="1"/>
  <c r="H230" i="17"/>
  <c r="L230" i="17" s="1"/>
  <c r="H229" i="17"/>
  <c r="L229" i="17" s="1"/>
  <c r="M229" i="17" s="1"/>
  <c r="H228" i="17"/>
  <c r="L228" i="17" s="1"/>
  <c r="M228" i="17" s="1"/>
  <c r="H227" i="17"/>
  <c r="L227" i="17" s="1"/>
  <c r="H224" i="17"/>
  <c r="L224" i="17" s="1"/>
  <c r="H223" i="17"/>
  <c r="L223" i="17" s="1"/>
  <c r="M223" i="17" s="1"/>
  <c r="H222" i="17"/>
  <c r="L222" i="17" s="1"/>
  <c r="H221" i="17"/>
  <c r="L221" i="17" s="1"/>
  <c r="H220" i="17"/>
  <c r="L220" i="17" s="1"/>
  <c r="M220" i="17" s="1"/>
  <c r="H219" i="17"/>
  <c r="L219" i="17" s="1"/>
  <c r="H218" i="17"/>
  <c r="L218" i="17" s="1"/>
  <c r="H217" i="17"/>
  <c r="L217" i="17" s="1"/>
  <c r="H216" i="17"/>
  <c r="L216" i="17" s="1"/>
  <c r="H215" i="17"/>
  <c r="L215" i="17" s="1"/>
  <c r="H214" i="17"/>
  <c r="L214" i="17" s="1"/>
  <c r="M214" i="17" s="1"/>
  <c r="H213" i="17"/>
  <c r="L213" i="17" s="1"/>
  <c r="M213" i="17" s="1"/>
  <c r="H212" i="17"/>
  <c r="L212" i="17" s="1"/>
  <c r="H211" i="17"/>
  <c r="L211" i="17" s="1"/>
  <c r="H209" i="17"/>
  <c r="L209" i="17" s="1"/>
  <c r="H208" i="17"/>
  <c r="L208" i="17" s="1"/>
  <c r="H207" i="17"/>
  <c r="L207" i="17" s="1"/>
  <c r="H206" i="17"/>
  <c r="L206" i="17" s="1"/>
  <c r="H205" i="17"/>
  <c r="L205" i="17" s="1"/>
  <c r="H202" i="17"/>
  <c r="L202" i="17" s="1"/>
  <c r="H201" i="17"/>
  <c r="L201" i="17" s="1"/>
  <c r="H200" i="17"/>
  <c r="L200" i="17" s="1"/>
  <c r="M200" i="17" s="1"/>
  <c r="H199" i="17"/>
  <c r="L199" i="17" s="1"/>
  <c r="M199" i="17" s="1"/>
  <c r="H198" i="17"/>
  <c r="L198" i="17" s="1"/>
  <c r="H197" i="17"/>
  <c r="L197" i="17" s="1"/>
  <c r="H196" i="17"/>
  <c r="L196" i="17" s="1"/>
  <c r="H195" i="17"/>
  <c r="L195" i="17" s="1"/>
  <c r="H194" i="17"/>
  <c r="L194" i="17" s="1"/>
  <c r="H191" i="17"/>
  <c r="L191" i="17" s="1"/>
  <c r="H189" i="17"/>
  <c r="L189" i="17" s="1"/>
  <c r="H188" i="17"/>
  <c r="L188" i="17" s="1"/>
  <c r="H187" i="17"/>
  <c r="L187" i="17" s="1"/>
  <c r="H184" i="17"/>
  <c r="L184" i="17" s="1"/>
  <c r="M184" i="17" s="1"/>
  <c r="H183" i="17"/>
  <c r="L183" i="17" s="1"/>
  <c r="H182" i="17"/>
  <c r="L182" i="17" s="1"/>
  <c r="H181" i="17"/>
  <c r="L181" i="17" s="1"/>
  <c r="M181" i="17" s="1"/>
  <c r="H179" i="17"/>
  <c r="L179" i="17" s="1"/>
  <c r="M179" i="17" s="1"/>
  <c r="H178" i="17"/>
  <c r="L178" i="17" s="1"/>
  <c r="H174" i="17"/>
  <c r="L174" i="17" s="1"/>
  <c r="H169" i="17"/>
  <c r="L169" i="17" s="1"/>
  <c r="M169" i="17" s="1"/>
  <c r="H168" i="17"/>
  <c r="L168" i="17" s="1"/>
  <c r="H167" i="17"/>
  <c r="L167" i="17" s="1"/>
  <c r="M167" i="17" s="1"/>
  <c r="H166" i="17"/>
  <c r="L166" i="17" s="1"/>
  <c r="M166" i="17" s="1"/>
  <c r="H165" i="17"/>
  <c r="L165" i="17" s="1"/>
  <c r="H164" i="17"/>
  <c r="L164" i="17" s="1"/>
  <c r="M164" i="17" s="1"/>
  <c r="H163" i="17"/>
  <c r="L163" i="17" s="1"/>
  <c r="H162" i="17"/>
  <c r="L162" i="17" s="1"/>
  <c r="M162" i="17" s="1"/>
  <c r="H161" i="17"/>
  <c r="L161" i="17" s="1"/>
  <c r="M161" i="17" s="1"/>
  <c r="H160" i="17"/>
  <c r="L160" i="17" s="1"/>
  <c r="H159" i="17"/>
  <c r="L159" i="17" s="1"/>
  <c r="M159" i="17" s="1"/>
  <c r="H158" i="17"/>
  <c r="L158" i="17" s="1"/>
  <c r="H157" i="17"/>
  <c r="L157" i="17" s="1"/>
  <c r="M157" i="17" s="1"/>
  <c r="H156" i="17"/>
  <c r="L156" i="17" s="1"/>
  <c r="M156" i="17" s="1"/>
  <c r="H155" i="17"/>
  <c r="L155" i="17" s="1"/>
  <c r="H154" i="17"/>
  <c r="L154" i="17" s="1"/>
  <c r="M154" i="17" s="1"/>
  <c r="H153" i="17"/>
  <c r="L153" i="17" s="1"/>
  <c r="H152" i="17"/>
  <c r="L152" i="17" s="1"/>
  <c r="M152" i="17" s="1"/>
  <c r="H151" i="17"/>
  <c r="L151" i="17" s="1"/>
  <c r="M151" i="17" s="1"/>
  <c r="H150" i="17"/>
  <c r="L150" i="17" s="1"/>
  <c r="H149" i="17"/>
  <c r="L149" i="17" s="1"/>
  <c r="M149" i="17" s="1"/>
  <c r="H148" i="17"/>
  <c r="L148" i="17" s="1"/>
  <c r="H147" i="17"/>
  <c r="L147" i="17" s="1"/>
  <c r="M147" i="17" s="1"/>
  <c r="H146" i="17"/>
  <c r="L146" i="17" s="1"/>
  <c r="M146" i="17" s="1"/>
  <c r="H145" i="17"/>
  <c r="L145" i="17" s="1"/>
  <c r="H144" i="17"/>
  <c r="L144" i="17" s="1"/>
  <c r="M144" i="17" s="1"/>
  <c r="H143" i="17"/>
  <c r="L143" i="17" s="1"/>
  <c r="H142" i="17"/>
  <c r="L142" i="17" s="1"/>
  <c r="M142" i="17" s="1"/>
  <c r="H141" i="17"/>
  <c r="L141" i="17" s="1"/>
  <c r="M141" i="17" s="1"/>
  <c r="H140" i="17"/>
  <c r="L140" i="17" s="1"/>
  <c r="H139" i="17"/>
  <c r="L139" i="17" s="1"/>
  <c r="M139" i="17" s="1"/>
  <c r="H138" i="17"/>
  <c r="L138" i="17" s="1"/>
  <c r="H137" i="17"/>
  <c r="L137" i="17" s="1"/>
  <c r="M137" i="17" s="1"/>
  <c r="H136" i="17"/>
  <c r="L136" i="17" s="1"/>
  <c r="M136" i="17" s="1"/>
  <c r="H135" i="17"/>
  <c r="L135" i="17" s="1"/>
  <c r="H134" i="17"/>
  <c r="L134" i="17" s="1"/>
  <c r="M134" i="17" s="1"/>
  <c r="H133" i="17"/>
  <c r="L133" i="17" s="1"/>
  <c r="H132" i="17"/>
  <c r="L132" i="17" s="1"/>
  <c r="M132" i="17" s="1"/>
  <c r="H131" i="17"/>
  <c r="L131" i="17" s="1"/>
  <c r="M131" i="17" s="1"/>
  <c r="H130" i="17"/>
  <c r="L130" i="17" s="1"/>
  <c r="H129" i="17"/>
  <c r="L129" i="17" s="1"/>
  <c r="M129" i="17" s="1"/>
  <c r="H128" i="17"/>
  <c r="L128" i="17" s="1"/>
  <c r="H127" i="17"/>
  <c r="L127" i="17" s="1"/>
  <c r="M127" i="17" s="1"/>
  <c r="H126" i="17"/>
  <c r="L126" i="17" s="1"/>
  <c r="M126" i="17" s="1"/>
  <c r="H125" i="17"/>
  <c r="L125" i="17" s="1"/>
  <c r="H124" i="17"/>
  <c r="L124" i="17" s="1"/>
  <c r="M124" i="17" s="1"/>
  <c r="H123" i="17"/>
  <c r="L123" i="17" s="1"/>
  <c r="L122" i="17"/>
  <c r="M122" i="17" s="1"/>
  <c r="H120" i="17"/>
  <c r="L120" i="17" s="1"/>
  <c r="L119" i="17"/>
  <c r="M119" i="17" s="1"/>
  <c r="H118" i="17"/>
  <c r="L118" i="17" s="1"/>
  <c r="L117" i="17"/>
  <c r="M117" i="17" s="1"/>
  <c r="H115" i="17"/>
  <c r="L115" i="17" s="1"/>
  <c r="H114" i="17"/>
  <c r="L114" i="17" s="1"/>
  <c r="H113" i="17"/>
  <c r="L113" i="17" s="1"/>
  <c r="L112" i="17"/>
  <c r="M112" i="17" s="1"/>
  <c r="L111" i="17"/>
  <c r="M111" i="17" s="1"/>
  <c r="L110" i="17"/>
  <c r="M110" i="17" s="1"/>
  <c r="H108" i="17"/>
  <c r="L108" i="17" s="1"/>
  <c r="H107" i="17"/>
  <c r="L107" i="17" s="1"/>
  <c r="M107" i="17" s="1"/>
  <c r="H106" i="17"/>
  <c r="L106" i="17" s="1"/>
  <c r="H105" i="17"/>
  <c r="L105" i="17" s="1"/>
  <c r="H104" i="17"/>
  <c r="L104" i="17" s="1"/>
  <c r="H103" i="17"/>
  <c r="L103" i="17" s="1"/>
  <c r="M103" i="17" s="1"/>
  <c r="H102" i="17"/>
  <c r="L102" i="17" s="1"/>
  <c r="H101" i="17"/>
  <c r="L101" i="17" s="1"/>
  <c r="M101" i="17" s="1"/>
  <c r="H100" i="17"/>
  <c r="L100" i="17" s="1"/>
  <c r="M100" i="17" s="1"/>
  <c r="H99" i="17"/>
  <c r="L99" i="17" s="1"/>
  <c r="M99" i="17" s="1"/>
  <c r="H97" i="17"/>
  <c r="L97" i="17" s="1"/>
  <c r="H95" i="17"/>
  <c r="L95" i="17" s="1"/>
  <c r="H94" i="17"/>
  <c r="L94" i="17" s="1"/>
  <c r="H93" i="17"/>
  <c r="L93" i="17" s="1"/>
  <c r="H92" i="17"/>
  <c r="L92" i="17" s="1"/>
  <c r="H90" i="17"/>
  <c r="L90" i="17" s="1"/>
  <c r="M90" i="17" s="1"/>
  <c r="H89" i="17"/>
  <c r="L89" i="17" s="1"/>
  <c r="M89" i="17" s="1"/>
  <c r="H88" i="17"/>
  <c r="L88" i="17" s="1"/>
  <c r="M88" i="17" s="1"/>
  <c r="H87" i="17"/>
  <c r="L87" i="17" s="1"/>
  <c r="M87" i="17" s="1"/>
  <c r="H85" i="17"/>
  <c r="L85" i="17" s="1"/>
  <c r="H84" i="17"/>
  <c r="L84" i="17" s="1"/>
  <c r="M84" i="17" s="1"/>
  <c r="H82" i="17"/>
  <c r="L82" i="17" s="1"/>
  <c r="H79" i="17"/>
  <c r="L79" i="17" s="1"/>
  <c r="M79" i="17" s="1"/>
  <c r="H76" i="17"/>
  <c r="L76" i="17" s="1"/>
  <c r="M76" i="17" s="1"/>
  <c r="H74" i="17"/>
  <c r="L74" i="17" s="1"/>
  <c r="H73" i="17"/>
  <c r="L73" i="17" s="1"/>
  <c r="H72" i="17"/>
  <c r="L72" i="17" s="1"/>
  <c r="H71" i="17"/>
  <c r="L71" i="17" s="1"/>
  <c r="H70" i="17"/>
  <c r="L70" i="17" s="1"/>
  <c r="M70" i="17" s="1"/>
  <c r="H69" i="17"/>
  <c r="L69" i="17" s="1"/>
  <c r="H68" i="17"/>
  <c r="L68" i="17" s="1"/>
  <c r="M68" i="17" s="1"/>
  <c r="H67" i="17"/>
  <c r="L67" i="17" s="1"/>
  <c r="M67" i="17" s="1"/>
  <c r="H66" i="17"/>
  <c r="L66" i="17" s="1"/>
  <c r="H65" i="17"/>
  <c r="L65" i="17" s="1"/>
  <c r="M65" i="17" s="1"/>
  <c r="H64" i="17"/>
  <c r="L64" i="17" s="1"/>
  <c r="M64" i="17" s="1"/>
  <c r="H63" i="17"/>
  <c r="L63" i="17" s="1"/>
  <c r="H61" i="17"/>
  <c r="L61" i="17" s="1"/>
  <c r="H60" i="17"/>
  <c r="L60" i="17" s="1"/>
  <c r="H59" i="17"/>
  <c r="L59" i="17" s="1"/>
  <c r="H58" i="17"/>
  <c r="L58" i="17" s="1"/>
  <c r="H57" i="17"/>
  <c r="L57" i="17" s="1"/>
  <c r="M57" i="17" s="1"/>
  <c r="H56" i="17"/>
  <c r="L56" i="17" s="1"/>
  <c r="M56" i="17" s="1"/>
  <c r="H55" i="17"/>
  <c r="L55" i="17" s="1"/>
  <c r="H54" i="17"/>
  <c r="L54" i="17" s="1"/>
  <c r="M54" i="17" s="1"/>
  <c r="H53" i="17"/>
  <c r="L53" i="17" s="1"/>
  <c r="M53" i="17" s="1"/>
  <c r="H52" i="17"/>
  <c r="L52" i="17" s="1"/>
  <c r="H51" i="17"/>
  <c r="L51" i="17" s="1"/>
  <c r="M51" i="17" s="1"/>
  <c r="H50" i="17"/>
  <c r="L50" i="17" s="1"/>
  <c r="M50" i="17" s="1"/>
  <c r="H49" i="17"/>
  <c r="L49" i="17" s="1"/>
  <c r="H48" i="17"/>
  <c r="L48" i="17" s="1"/>
  <c r="M48" i="17" s="1"/>
  <c r="H47" i="17"/>
  <c r="L47" i="17" s="1"/>
  <c r="M47" i="17" s="1"/>
  <c r="H46" i="17"/>
  <c r="L46" i="17" s="1"/>
  <c r="H45" i="17"/>
  <c r="L45" i="17" s="1"/>
  <c r="M45" i="17" s="1"/>
  <c r="H44" i="17"/>
  <c r="L44" i="17" s="1"/>
  <c r="M44" i="17" s="1"/>
  <c r="H43" i="17"/>
  <c r="L43" i="17" s="1"/>
  <c r="H42" i="17"/>
  <c r="L42" i="17" s="1"/>
  <c r="M42" i="17" s="1"/>
  <c r="H41" i="17"/>
  <c r="L41" i="17" s="1"/>
  <c r="H39" i="17"/>
  <c r="L39" i="17" s="1"/>
  <c r="H36" i="17"/>
  <c r="L36" i="17" s="1"/>
  <c r="H33" i="17"/>
  <c r="L33" i="17" s="1"/>
  <c r="H28" i="17"/>
  <c r="L28" i="17" s="1"/>
  <c r="M28" i="17" s="1"/>
  <c r="H26" i="17"/>
  <c r="L26" i="17" s="1"/>
  <c r="H25" i="17"/>
  <c r="L25" i="17" s="1"/>
  <c r="H24" i="17"/>
  <c r="L24" i="17" s="1"/>
  <c r="H23" i="17"/>
  <c r="L23" i="17" s="1"/>
  <c r="H22" i="17"/>
  <c r="L22" i="17" s="1"/>
  <c r="M22" i="17" s="1"/>
  <c r="H21" i="17"/>
  <c r="L21" i="17" s="1"/>
  <c r="M21" i="17" s="1"/>
  <c r="H20" i="17"/>
  <c r="L20" i="17" s="1"/>
  <c r="H19" i="17"/>
  <c r="L19" i="17" s="1"/>
  <c r="M19" i="17" s="1"/>
  <c r="H18" i="17"/>
  <c r="L18" i="17" s="1"/>
  <c r="M18" i="17" s="1"/>
  <c r="H17" i="17"/>
  <c r="L17" i="17" s="1"/>
  <c r="H16" i="17"/>
  <c r="L16" i="17" s="1"/>
  <c r="M16" i="17" s="1"/>
  <c r="H13" i="17"/>
  <c r="L13" i="17" s="1"/>
  <c r="H8" i="17"/>
  <c r="L1756" i="17" l="1"/>
  <c r="M1756" i="17" s="1"/>
  <c r="H1874" i="17"/>
  <c r="L8" i="17"/>
  <c r="M8" i="17" s="1"/>
  <c r="L329" i="17"/>
  <c r="M329" i="17" s="1"/>
  <c r="J334" i="17"/>
  <c r="K334" i="17" s="1"/>
  <c r="G319" i="17"/>
  <c r="H319" i="17" s="1"/>
  <c r="L319" i="17" s="1"/>
  <c r="M319" i="17" s="1"/>
  <c r="G341" i="17"/>
  <c r="H341" i="17" s="1"/>
  <c r="L341" i="17" s="1"/>
  <c r="M341" i="17" s="1"/>
  <c r="D351" i="17"/>
  <c r="J351" i="17" s="1"/>
  <c r="K351" i="17" s="1"/>
  <c r="D352" i="17"/>
  <c r="J352" i="17" s="1"/>
  <c r="K352" i="17" s="1"/>
  <c r="F351" i="17"/>
  <c r="J362" i="17"/>
  <c r="K362" i="17" s="1"/>
  <c r="F365" i="17"/>
  <c r="F364" i="17" s="1"/>
  <c r="G365" i="17"/>
  <c r="G364" i="17" s="1"/>
  <c r="F366" i="17"/>
  <c r="G366" i="17"/>
  <c r="D369" i="17"/>
  <c r="J369" i="17" s="1"/>
  <c r="K369" i="17" s="1"/>
  <c r="D370" i="17"/>
  <c r="J370" i="17" s="1"/>
  <c r="K370" i="17" s="1"/>
  <c r="G372" i="17"/>
  <c r="J374" i="17"/>
  <c r="K374" i="17" s="1"/>
  <c r="J375" i="17"/>
  <c r="K375" i="17" s="1"/>
  <c r="D380" i="17"/>
  <c r="D389" i="17"/>
  <c r="J389" i="17" s="1"/>
  <c r="K389" i="17" s="1"/>
  <c r="D426" i="17"/>
  <c r="D436" i="17"/>
  <c r="F27" i="17"/>
  <c r="F31" i="17" s="1"/>
  <c r="F29" i="17" s="1"/>
  <c r="D32" i="17"/>
  <c r="J32" i="17" s="1"/>
  <c r="K32" i="17" s="1"/>
  <c r="F32" i="17"/>
  <c r="G34" i="17"/>
  <c r="G35" i="17"/>
  <c r="G37" i="17"/>
  <c r="H37" i="17" s="1"/>
  <c r="L37" i="17" s="1"/>
  <c r="M37" i="17" s="1"/>
  <c r="G38" i="17"/>
  <c r="H38" i="17" s="1"/>
  <c r="L38" i="17" s="1"/>
  <c r="M38" i="17" s="1"/>
  <c r="D40" i="17"/>
  <c r="J40" i="17" s="1"/>
  <c r="K40" i="17" s="1"/>
  <c r="D62" i="17"/>
  <c r="F81" i="17"/>
  <c r="G81" i="17"/>
  <c r="D83" i="17"/>
  <c r="G86" i="17"/>
  <c r="H86" i="17" s="1"/>
  <c r="L86" i="17" s="1"/>
  <c r="M86" i="17" s="1"/>
  <c r="D91" i="17"/>
  <c r="J96" i="17"/>
  <c r="D98" i="17"/>
  <c r="D176" i="17"/>
  <c r="J176" i="17" s="1"/>
  <c r="K176" i="17" s="1"/>
  <c r="F176" i="17"/>
  <c r="F175" i="17" s="1"/>
  <c r="G176" i="17"/>
  <c r="D177" i="17"/>
  <c r="D190" i="17"/>
  <c r="G192" i="17"/>
  <c r="D193" i="17"/>
  <c r="J193" i="17" s="1"/>
  <c r="K193" i="17" s="1"/>
  <c r="G193" i="17"/>
  <c r="D203" i="17"/>
  <c r="D210" i="17"/>
  <c r="D225" i="17"/>
  <c r="D226" i="17"/>
  <c r="J226" i="17" s="1"/>
  <c r="K226" i="17" s="1"/>
  <c r="D233" i="17"/>
  <c r="J233" i="17" s="1"/>
  <c r="K233" i="17" s="1"/>
  <c r="F233" i="17"/>
  <c r="F231" i="17" s="1"/>
  <c r="G233" i="17"/>
  <c r="D239" i="17"/>
  <c r="G268" i="17"/>
  <c r="G267" i="17" s="1"/>
  <c r="D269" i="17"/>
  <c r="J269" i="17" s="1"/>
  <c r="K269" i="17" s="1"/>
  <c r="G269" i="17"/>
  <c r="D271" i="17"/>
  <c r="J271" i="17" s="1"/>
  <c r="K271" i="17" s="1"/>
  <c r="F275" i="17"/>
  <c r="F274" i="17" s="1"/>
  <c r="G275" i="17"/>
  <c r="G274" i="17" s="1"/>
  <c r="D276" i="17"/>
  <c r="J276" i="17" s="1"/>
  <c r="K276" i="17" s="1"/>
  <c r="F276" i="17"/>
  <c r="G276" i="17"/>
  <c r="J282" i="17"/>
  <c r="K282" i="17" s="1"/>
  <c r="D286" i="17"/>
  <c r="D289" i="17"/>
  <c r="J289" i="17" s="1"/>
  <c r="K289" i="17" s="1"/>
  <c r="G621" i="17"/>
  <c r="H621" i="17" s="1"/>
  <c r="L621" i="17" s="1"/>
  <c r="M621" i="17" s="1"/>
  <c r="D628" i="17"/>
  <c r="J628" i="17" s="1"/>
  <c r="K628" i="17" s="1"/>
  <c r="E628" i="17"/>
  <c r="F628" i="17"/>
  <c r="D629" i="17"/>
  <c r="J629" i="17" s="1"/>
  <c r="K629" i="17" s="1"/>
  <c r="E629" i="17"/>
  <c r="F629" i="17"/>
  <c r="L646" i="17"/>
  <c r="M646" i="17" s="1"/>
  <c r="J647" i="17"/>
  <c r="K647" i="17" s="1"/>
  <c r="L648" i="17"/>
  <c r="M648" i="17" s="1"/>
  <c r="J649" i="17"/>
  <c r="K649" i="17" s="1"/>
  <c r="L650" i="17"/>
  <c r="M650" i="17" s="1"/>
  <c r="J651" i="17"/>
  <c r="K651" i="17" s="1"/>
  <c r="D664" i="17"/>
  <c r="J664" i="17" s="1"/>
  <c r="K664" i="17" s="1"/>
  <c r="E664" i="17"/>
  <c r="F664" i="17"/>
  <c r="D665" i="17"/>
  <c r="J665" i="17" s="1"/>
  <c r="K665" i="17" s="1"/>
  <c r="E665" i="17"/>
  <c r="G665" i="17"/>
  <c r="G667" i="17"/>
  <c r="E689" i="17"/>
  <c r="F689" i="17"/>
  <c r="D690" i="17"/>
  <c r="J690" i="17" s="1"/>
  <c r="K690" i="17" s="1"/>
  <c r="E690" i="17"/>
  <c r="F690" i="17"/>
  <c r="D696" i="17"/>
  <c r="J696" i="17" s="1"/>
  <c r="K696" i="17" s="1"/>
  <c r="G696" i="17"/>
  <c r="G723" i="17"/>
  <c r="H723" i="17" s="1"/>
  <c r="L723" i="17" s="1"/>
  <c r="M723" i="17" s="1"/>
  <c r="J725" i="17"/>
  <c r="K725" i="17" s="1"/>
  <c r="L726" i="17"/>
  <c r="M726" i="17" s="1"/>
  <c r="J727" i="17"/>
  <c r="K727" i="17" s="1"/>
  <c r="D752" i="17"/>
  <c r="J752" i="17" s="1"/>
  <c r="K752" i="17" s="1"/>
  <c r="E752" i="17"/>
  <c r="F752" i="17"/>
  <c r="G752" i="17"/>
  <c r="D753" i="17"/>
  <c r="J753" i="17" s="1"/>
  <c r="K753" i="17" s="1"/>
  <c r="E753" i="17"/>
  <c r="F753" i="17"/>
  <c r="G753" i="17"/>
  <c r="E786" i="17"/>
  <c r="E784" i="17" s="1"/>
  <c r="F786" i="17"/>
  <c r="D789" i="17"/>
  <c r="J789" i="17" s="1"/>
  <c r="K789" i="17" s="1"/>
  <c r="D810" i="17"/>
  <c r="J810" i="17" s="1"/>
  <c r="K810" i="17" s="1"/>
  <c r="D817" i="17"/>
  <c r="J817" i="17" s="1"/>
  <c r="K817" i="17" s="1"/>
  <c r="G817" i="17"/>
  <c r="G816" i="17" s="1"/>
  <c r="D822" i="17"/>
  <c r="J822" i="17" s="1"/>
  <c r="K822" i="17" s="1"/>
  <c r="G822" i="17"/>
  <c r="D827" i="17"/>
  <c r="J827" i="17" s="1"/>
  <c r="K827" i="17" s="1"/>
  <c r="G827" i="17"/>
  <c r="F878" i="17"/>
  <c r="J883" i="17"/>
  <c r="K883" i="17" s="1"/>
  <c r="L889" i="17"/>
  <c r="M889" i="17" s="1"/>
  <c r="L500" i="17"/>
  <c r="M500" i="17" s="1"/>
  <c r="E1804" i="17"/>
  <c r="F1804" i="17"/>
  <c r="G1804" i="17"/>
  <c r="D1804" i="17"/>
  <c r="J1804" i="17" s="1"/>
  <c r="G1683" i="17"/>
  <c r="G1709" i="17"/>
  <c r="G1291" i="17"/>
  <c r="H286" i="17" l="1"/>
  <c r="L286" i="17" s="1"/>
  <c r="M286" i="17" s="1"/>
  <c r="J286" i="17"/>
  <c r="K286" i="17" s="1"/>
  <c r="H210" i="17"/>
  <c r="L210" i="17" s="1"/>
  <c r="M210" i="17" s="1"/>
  <c r="J210" i="17"/>
  <c r="K210" i="17" s="1"/>
  <c r="L121" i="17"/>
  <c r="M121" i="17" s="1"/>
  <c r="J121" i="17"/>
  <c r="K121" i="17" s="1"/>
  <c r="H83" i="17"/>
  <c r="L83" i="17" s="1"/>
  <c r="M83" i="17" s="1"/>
  <c r="J83" i="17"/>
  <c r="K83" i="17" s="1"/>
  <c r="H436" i="17"/>
  <c r="L436" i="17" s="1"/>
  <c r="M436" i="17" s="1"/>
  <c r="J436" i="17"/>
  <c r="K436" i="17" s="1"/>
  <c r="L375" i="17"/>
  <c r="M375" i="17" s="1"/>
  <c r="H203" i="17"/>
  <c r="L203" i="17" s="1"/>
  <c r="M203" i="17" s="1"/>
  <c r="J203" i="17"/>
  <c r="K203" i="17" s="1"/>
  <c r="L116" i="17"/>
  <c r="M116" i="17" s="1"/>
  <c r="J116" i="17"/>
  <c r="K116" i="17" s="1"/>
  <c r="H62" i="17"/>
  <c r="L62" i="17" s="1"/>
  <c r="M62" i="17" s="1"/>
  <c r="J62" i="17"/>
  <c r="K62" i="17" s="1"/>
  <c r="H426" i="17"/>
  <c r="L426" i="17" s="1"/>
  <c r="M426" i="17" s="1"/>
  <c r="J426" i="17"/>
  <c r="K426" i="17" s="1"/>
  <c r="H380" i="17"/>
  <c r="L380" i="17" s="1"/>
  <c r="M380" i="17" s="1"/>
  <c r="J380" i="17"/>
  <c r="K380" i="17" s="1"/>
  <c r="H239" i="17"/>
  <c r="L239" i="17" s="1"/>
  <c r="M239" i="17" s="1"/>
  <c r="J239" i="17"/>
  <c r="K239" i="17" s="1"/>
  <c r="H177" i="17"/>
  <c r="L177" i="17" s="1"/>
  <c r="M177" i="17" s="1"/>
  <c r="J177" i="17"/>
  <c r="K177" i="17" s="1"/>
  <c r="L109" i="17"/>
  <c r="M109" i="17" s="1"/>
  <c r="J109" i="17"/>
  <c r="K109" i="17" s="1"/>
  <c r="H91" i="17"/>
  <c r="L91" i="17" s="1"/>
  <c r="M91" i="17" s="1"/>
  <c r="J91" i="17"/>
  <c r="K91" i="17" s="1"/>
  <c r="H225" i="17"/>
  <c r="L225" i="17" s="1"/>
  <c r="M225" i="17" s="1"/>
  <c r="J225" i="17"/>
  <c r="K225" i="17" s="1"/>
  <c r="H190" i="17"/>
  <c r="L190" i="17" s="1"/>
  <c r="J190" i="17"/>
  <c r="H98" i="17"/>
  <c r="L98" i="17" s="1"/>
  <c r="M98" i="17" s="1"/>
  <c r="J98" i="17"/>
  <c r="K98" i="17" s="1"/>
  <c r="D268" i="17"/>
  <c r="J268" i="17" s="1"/>
  <c r="K268" i="17" s="1"/>
  <c r="H271" i="17"/>
  <c r="L271" i="17" s="1"/>
  <c r="M271" i="17" s="1"/>
  <c r="D27" i="17"/>
  <c r="J27" i="17" s="1"/>
  <c r="K27" i="17" s="1"/>
  <c r="H40" i="17"/>
  <c r="L40" i="17" s="1"/>
  <c r="M40" i="17" s="1"/>
  <c r="D365" i="17"/>
  <c r="J365" i="17" s="1"/>
  <c r="K365" i="17" s="1"/>
  <c r="H369" i="17"/>
  <c r="L369" i="17" s="1"/>
  <c r="M369" i="17" s="1"/>
  <c r="H789" i="17"/>
  <c r="L789" i="17" s="1"/>
  <c r="M789" i="17" s="1"/>
  <c r="H289" i="17"/>
  <c r="L289" i="17" s="1"/>
  <c r="M289" i="17" s="1"/>
  <c r="D275" i="17"/>
  <c r="J275" i="17" s="1"/>
  <c r="K275" i="17" s="1"/>
  <c r="L282" i="17"/>
  <c r="M282" i="17" s="1"/>
  <c r="G32" i="17"/>
  <c r="H32" i="17" s="1"/>
  <c r="L32" i="17" s="1"/>
  <c r="M32" i="17" s="1"/>
  <c r="H35" i="17"/>
  <c r="L35" i="17" s="1"/>
  <c r="M35" i="17" s="1"/>
  <c r="G27" i="17"/>
  <c r="G31" i="17" s="1"/>
  <c r="G29" i="17" s="1"/>
  <c r="H34" i="17"/>
  <c r="L34" i="17" s="1"/>
  <c r="M34" i="17" s="1"/>
  <c r="D366" i="17"/>
  <c r="J366" i="17" s="1"/>
  <c r="K366" i="17" s="1"/>
  <c r="H370" i="17"/>
  <c r="L370" i="17" s="1"/>
  <c r="M370" i="17" s="1"/>
  <c r="L349" i="17"/>
  <c r="M349" i="17" s="1"/>
  <c r="L348" i="17"/>
  <c r="M348" i="17" s="1"/>
  <c r="H176" i="17"/>
  <c r="L176" i="17" s="1"/>
  <c r="M176" i="17" s="1"/>
  <c r="H665" i="17"/>
  <c r="L665" i="17" s="1"/>
  <c r="M665" i="17" s="1"/>
  <c r="H276" i="17"/>
  <c r="L276" i="17" s="1"/>
  <c r="M276" i="17" s="1"/>
  <c r="L347" i="17"/>
  <c r="M347" i="17" s="1"/>
  <c r="H822" i="17"/>
  <c r="L822" i="17" s="1"/>
  <c r="M822" i="17" s="1"/>
  <c r="L649" i="17"/>
  <c r="M649" i="17" s="1"/>
  <c r="H365" i="17"/>
  <c r="L365" i="17" s="1"/>
  <c r="M365" i="17" s="1"/>
  <c r="H753" i="17"/>
  <c r="L753" i="17" s="1"/>
  <c r="M753" i="17" s="1"/>
  <c r="H752" i="17"/>
  <c r="L752" i="17" s="1"/>
  <c r="M752" i="17" s="1"/>
  <c r="D81" i="17"/>
  <c r="H226" i="17"/>
  <c r="L226" i="17" s="1"/>
  <c r="M226" i="17" s="1"/>
  <c r="L334" i="17"/>
  <c r="M334" i="17" s="1"/>
  <c r="D689" i="17"/>
  <c r="H696" i="17"/>
  <c r="L696" i="17" s="1"/>
  <c r="M696" i="17" s="1"/>
  <c r="G629" i="17"/>
  <c r="H629" i="17" s="1"/>
  <c r="L629" i="17" s="1"/>
  <c r="M629" i="17" s="1"/>
  <c r="L644" i="17"/>
  <c r="M644" i="17" s="1"/>
  <c r="L883" i="17"/>
  <c r="M883" i="17" s="1"/>
  <c r="L885" i="17"/>
  <c r="M885" i="17" s="1"/>
  <c r="H827" i="17"/>
  <c r="L827" i="17" s="1"/>
  <c r="M827" i="17" s="1"/>
  <c r="H269" i="17"/>
  <c r="L269" i="17" s="1"/>
  <c r="M269" i="17" s="1"/>
  <c r="D372" i="17"/>
  <c r="J372" i="17" s="1"/>
  <c r="K372" i="17" s="1"/>
  <c r="H389" i="17"/>
  <c r="L389" i="17" s="1"/>
  <c r="M389" i="17" s="1"/>
  <c r="L362" i="17"/>
  <c r="M362" i="17" s="1"/>
  <c r="L346" i="17"/>
  <c r="M346" i="17" s="1"/>
  <c r="F325" i="17"/>
  <c r="L327" i="17"/>
  <c r="M327" i="17" s="1"/>
  <c r="G175" i="17"/>
  <c r="G75" i="17" s="1"/>
  <c r="F372" i="17"/>
  <c r="L374" i="17"/>
  <c r="M374" i="17" s="1"/>
  <c r="L326" i="17"/>
  <c r="M326" i="17" s="1"/>
  <c r="D816" i="17"/>
  <c r="H817" i="17"/>
  <c r="L817" i="17" s="1"/>
  <c r="M817" i="17" s="1"/>
  <c r="F784" i="17"/>
  <c r="D878" i="17"/>
  <c r="J878" i="17" s="1"/>
  <c r="K878" i="17" s="1"/>
  <c r="G808" i="17"/>
  <c r="G786" i="17" s="1"/>
  <c r="H810" i="17"/>
  <c r="L810" i="17" s="1"/>
  <c r="M810" i="17" s="1"/>
  <c r="G664" i="17"/>
  <c r="H664" i="17" s="1"/>
  <c r="L664" i="17" s="1"/>
  <c r="M664" i="17" s="1"/>
  <c r="H667" i="17"/>
  <c r="L667" i="17" s="1"/>
  <c r="M667" i="17" s="1"/>
  <c r="H233" i="17"/>
  <c r="L233" i="17" s="1"/>
  <c r="M233" i="17" s="1"/>
  <c r="H193" i="17"/>
  <c r="L193" i="17" s="1"/>
  <c r="M193" i="17" s="1"/>
  <c r="L335" i="17"/>
  <c r="M335" i="17" s="1"/>
  <c r="L328" i="17"/>
  <c r="M328" i="17" s="1"/>
  <c r="E75" i="17"/>
  <c r="L96" i="17"/>
  <c r="M96" i="17" s="1"/>
  <c r="H1804" i="17"/>
  <c r="L1804" i="17" s="1"/>
  <c r="M1804" i="17" s="1"/>
  <c r="L727" i="17"/>
  <c r="M727" i="17" s="1"/>
  <c r="L651" i="17"/>
  <c r="M651" i="17" s="1"/>
  <c r="L725" i="17"/>
  <c r="M725" i="17" s="1"/>
  <c r="L647" i="17"/>
  <c r="M647" i="17" s="1"/>
  <c r="H351" i="17"/>
  <c r="L351" i="17" s="1"/>
  <c r="M351" i="17" s="1"/>
  <c r="D364" i="17"/>
  <c r="J364" i="17" s="1"/>
  <c r="K364" i="17" s="1"/>
  <c r="F352" i="17"/>
  <c r="H352" i="17" s="1"/>
  <c r="L352" i="17" s="1"/>
  <c r="M352" i="17" s="1"/>
  <c r="G323" i="17"/>
  <c r="G325" i="17"/>
  <c r="G315" i="17" s="1"/>
  <c r="D274" i="17"/>
  <c r="D231" i="17"/>
  <c r="J231" i="17" s="1"/>
  <c r="K231" i="17" s="1"/>
  <c r="D192" i="17"/>
  <c r="F75" i="17"/>
  <c r="F80" i="17" s="1"/>
  <c r="G722" i="17"/>
  <c r="H722" i="17" s="1"/>
  <c r="L722" i="17" s="1"/>
  <c r="M722" i="17" s="1"/>
  <c r="G690" i="17"/>
  <c r="H690" i="17" s="1"/>
  <c r="L690" i="17" s="1"/>
  <c r="M690" i="17" s="1"/>
  <c r="E627" i="17"/>
  <c r="E617" i="17" s="1"/>
  <c r="E624" i="17" s="1"/>
  <c r="E619" i="17" s="1"/>
  <c r="L643" i="17"/>
  <c r="M643" i="17" s="1"/>
  <c r="F625" i="17"/>
  <c r="D625" i="17"/>
  <c r="J625" i="17" s="1"/>
  <c r="K625" i="17" s="1"/>
  <c r="F627" i="17"/>
  <c r="E625" i="17"/>
  <c r="D267" i="17" l="1"/>
  <c r="D323" i="17"/>
  <c r="J323" i="17" s="1"/>
  <c r="K323" i="17" s="1"/>
  <c r="H27" i="17"/>
  <c r="L27" i="17" s="1"/>
  <c r="M27" i="17" s="1"/>
  <c r="H268" i="17"/>
  <c r="L268" i="17" s="1"/>
  <c r="M268" i="17" s="1"/>
  <c r="F617" i="17"/>
  <c r="F624" i="17" s="1"/>
  <c r="F619" i="17" s="1"/>
  <c r="H366" i="17"/>
  <c r="L366" i="17" s="1"/>
  <c r="M366" i="17" s="1"/>
  <c r="H275" i="17"/>
  <c r="L275" i="17" s="1"/>
  <c r="M275" i="17" s="1"/>
  <c r="H274" i="17"/>
  <c r="L274" i="17" s="1"/>
  <c r="M274" i="17" s="1"/>
  <c r="J274" i="17"/>
  <c r="K274" i="17" s="1"/>
  <c r="D627" i="17"/>
  <c r="J627" i="17" s="1"/>
  <c r="K627" i="17" s="1"/>
  <c r="J689" i="17"/>
  <c r="K689" i="17" s="1"/>
  <c r="H81" i="17"/>
  <c r="L81" i="17" s="1"/>
  <c r="M81" i="17" s="1"/>
  <c r="J81" i="17"/>
  <c r="K81" i="17" s="1"/>
  <c r="H192" i="17"/>
  <c r="L192" i="17" s="1"/>
  <c r="M192" i="17" s="1"/>
  <c r="J192" i="17"/>
  <c r="K192" i="17" s="1"/>
  <c r="H267" i="17"/>
  <c r="L267" i="17" s="1"/>
  <c r="M267" i="17" s="1"/>
  <c r="J267" i="17"/>
  <c r="K267" i="17" s="1"/>
  <c r="H816" i="17"/>
  <c r="L816" i="17" s="1"/>
  <c r="M816" i="17" s="1"/>
  <c r="J816" i="17"/>
  <c r="K816" i="17" s="1"/>
  <c r="F323" i="17"/>
  <c r="H323" i="17" s="1"/>
  <c r="L323" i="17" s="1"/>
  <c r="M323" i="17" s="1"/>
  <c r="G878" i="17"/>
  <c r="G784" i="17" s="1"/>
  <c r="D808" i="17"/>
  <c r="J808" i="17" s="1"/>
  <c r="K808" i="17" s="1"/>
  <c r="F315" i="17"/>
  <c r="H372" i="17"/>
  <c r="L372" i="17" s="1"/>
  <c r="M372" i="17" s="1"/>
  <c r="G625" i="17"/>
  <c r="H625" i="17" s="1"/>
  <c r="L625" i="17" s="1"/>
  <c r="M625" i="17" s="1"/>
  <c r="H231" i="17"/>
  <c r="L231" i="17" s="1"/>
  <c r="M231" i="17" s="1"/>
  <c r="H364" i="17"/>
  <c r="L364" i="17" s="1"/>
  <c r="M364" i="17" s="1"/>
  <c r="F77" i="17"/>
  <c r="J337" i="17"/>
  <c r="K337" i="17" s="1"/>
  <c r="D175" i="17"/>
  <c r="G628" i="17"/>
  <c r="H628" i="17" s="1"/>
  <c r="L628" i="17" s="1"/>
  <c r="M628" i="17" s="1"/>
  <c r="G689" i="17"/>
  <c r="H689" i="17" s="1"/>
  <c r="L689" i="17" s="1"/>
  <c r="M689" i="17" s="1"/>
  <c r="H878" i="17" l="1"/>
  <c r="L878" i="17" s="1"/>
  <c r="M878" i="17" s="1"/>
  <c r="D786" i="17"/>
  <c r="J786" i="17" s="1"/>
  <c r="K786" i="17" s="1"/>
  <c r="H808" i="17"/>
  <c r="L808" i="17" s="1"/>
  <c r="M808" i="17" s="1"/>
  <c r="H175" i="17"/>
  <c r="L175" i="17" s="1"/>
  <c r="M175" i="17" s="1"/>
  <c r="J175" i="17"/>
  <c r="K175" i="17" s="1"/>
  <c r="L333" i="17"/>
  <c r="M333" i="17" s="1"/>
  <c r="J333" i="17"/>
  <c r="K333" i="17" s="1"/>
  <c r="L337" i="17"/>
  <c r="M337" i="17" s="1"/>
  <c r="D325" i="17"/>
  <c r="D75" i="17"/>
  <c r="G627" i="17"/>
  <c r="H627" i="17" s="1"/>
  <c r="L627" i="17" s="1"/>
  <c r="M627" i="17" s="1"/>
  <c r="H786" i="17" l="1"/>
  <c r="L786" i="17" s="1"/>
  <c r="M786" i="17" s="1"/>
  <c r="D784" i="17"/>
  <c r="H784" i="17" s="1"/>
  <c r="L784" i="17" s="1"/>
  <c r="M784" i="17" s="1"/>
  <c r="H325" i="17"/>
  <c r="L325" i="17" s="1"/>
  <c r="M325" i="17" s="1"/>
  <c r="J325" i="17"/>
  <c r="K325" i="17" s="1"/>
  <c r="H75" i="17"/>
  <c r="L75" i="17" s="1"/>
  <c r="M75" i="17" s="1"/>
  <c r="J75" i="17"/>
  <c r="K75" i="17" s="1"/>
  <c r="D315" i="17"/>
  <c r="D80" i="17"/>
  <c r="J80" i="17" s="1"/>
  <c r="K80" i="17" s="1"/>
  <c r="G617" i="17"/>
  <c r="D617" i="17"/>
  <c r="J617" i="17" s="1"/>
  <c r="K617" i="17" s="1"/>
  <c r="J784" i="17" l="1"/>
  <c r="K784" i="17" s="1"/>
  <c r="H315" i="17"/>
  <c r="L315" i="17" s="1"/>
  <c r="M315" i="17" s="1"/>
  <c r="J315" i="17"/>
  <c r="K315" i="17" s="1"/>
  <c r="H617" i="17"/>
  <c r="L617" i="17" s="1"/>
  <c r="M617" i="17" s="1"/>
  <c r="D77" i="17"/>
  <c r="J77" i="17" s="1"/>
  <c r="K77" i="17" s="1"/>
  <c r="D624" i="17"/>
  <c r="J624" i="17" s="1"/>
  <c r="K624" i="17" s="1"/>
  <c r="D619" i="17" l="1"/>
  <c r="J619" i="17" s="1"/>
  <c r="K619" i="17" s="1"/>
  <c r="G1747" i="17" l="1"/>
  <c r="G1745" i="17" s="1"/>
  <c r="E81" i="5" l="1"/>
  <c r="E79" i="5"/>
  <c r="E78" i="5"/>
  <c r="E77" i="5"/>
  <c r="E76" i="5"/>
  <c r="E74" i="5"/>
  <c r="E73" i="5"/>
  <c r="E72" i="5"/>
  <c r="E71" i="5"/>
  <c r="E69" i="5"/>
  <c r="E68" i="5"/>
  <c r="E67" i="5"/>
  <c r="E66" i="5"/>
  <c r="E65" i="5"/>
  <c r="E63" i="5"/>
  <c r="E62" i="5"/>
  <c r="E61" i="5"/>
  <c r="E59" i="5"/>
  <c r="E58" i="5"/>
  <c r="E57" i="5"/>
  <c r="E55" i="5"/>
  <c r="E54" i="5"/>
  <c r="E53" i="5"/>
  <c r="E52" i="5"/>
  <c r="E51" i="5"/>
  <c r="E50" i="5"/>
  <c r="E46" i="5"/>
  <c r="E45" i="5"/>
  <c r="E44" i="5"/>
  <c r="E43" i="5"/>
  <c r="E42" i="5"/>
  <c r="E41" i="5"/>
  <c r="E40" i="5"/>
  <c r="E39" i="5"/>
  <c r="E37" i="5"/>
  <c r="E36" i="5"/>
  <c r="E35" i="5"/>
  <c r="E33" i="5"/>
  <c r="E32" i="5"/>
  <c r="E31" i="5"/>
  <c r="E29" i="5"/>
  <c r="E28" i="5"/>
  <c r="E27" i="5"/>
  <c r="E24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D60" i="5"/>
  <c r="D56" i="5"/>
  <c r="D49" i="5" l="1"/>
  <c r="D80" i="5" s="1"/>
  <c r="D26" i="5"/>
  <c r="D25" i="5" s="1"/>
  <c r="D84" i="5" s="1"/>
  <c r="D7" i="5"/>
  <c r="D83" i="5" s="1"/>
  <c r="D85" i="5" l="1"/>
  <c r="D34" i="5"/>
  <c r="D38" i="5" s="1"/>
  <c r="N53" i="6" l="1"/>
  <c r="O53" i="6" l="1"/>
  <c r="G23" i="5"/>
  <c r="E137" i="12"/>
  <c r="I137" i="12" s="1"/>
  <c r="E136" i="12"/>
  <c r="I136" i="12" s="1"/>
  <c r="E135" i="12"/>
  <c r="I135" i="12" s="1"/>
  <c r="E134" i="12"/>
  <c r="I134" i="12" s="1"/>
  <c r="E133" i="12"/>
  <c r="E132" i="12"/>
  <c r="I132" i="12" s="1"/>
  <c r="E131" i="12"/>
  <c r="I131" i="12" s="1"/>
  <c r="E130" i="12"/>
  <c r="I130" i="12" s="1"/>
  <c r="E129" i="12"/>
  <c r="I129" i="12" s="1"/>
  <c r="E128" i="12"/>
  <c r="I128" i="12" s="1"/>
  <c r="E127" i="12"/>
  <c r="E126" i="12"/>
  <c r="I126" i="12" s="1"/>
  <c r="E125" i="12"/>
  <c r="I125" i="12" s="1"/>
  <c r="J125" i="12" s="1"/>
  <c r="E124" i="12"/>
  <c r="I124" i="12" s="1"/>
  <c r="J124" i="12" s="1"/>
  <c r="E123" i="12"/>
  <c r="I123" i="12" s="1"/>
  <c r="J123" i="12" s="1"/>
  <c r="E122" i="12"/>
  <c r="I122" i="12" s="1"/>
  <c r="J122" i="12" s="1"/>
  <c r="E121" i="12"/>
  <c r="I121" i="12" s="1"/>
  <c r="J121" i="12" s="1"/>
  <c r="E120" i="12"/>
  <c r="I120" i="12" s="1"/>
  <c r="J120" i="12" s="1"/>
  <c r="E119" i="12"/>
  <c r="I119" i="12" s="1"/>
  <c r="J119" i="12" s="1"/>
  <c r="E118" i="12"/>
  <c r="I118" i="12" s="1"/>
  <c r="J118" i="12" s="1"/>
  <c r="E116" i="12"/>
  <c r="I116" i="12" s="1"/>
  <c r="E115" i="12"/>
  <c r="I115" i="12" s="1"/>
  <c r="E113" i="12"/>
  <c r="I113" i="12" s="1"/>
  <c r="E111" i="12"/>
  <c r="I111" i="12" s="1"/>
  <c r="E110" i="12"/>
  <c r="I110" i="12" s="1"/>
  <c r="E108" i="12"/>
  <c r="I108" i="12" s="1"/>
  <c r="E106" i="12"/>
  <c r="I106" i="12" s="1"/>
  <c r="E105" i="12"/>
  <c r="I105" i="12" s="1"/>
  <c r="J105" i="12" s="1"/>
  <c r="E104" i="12"/>
  <c r="I104" i="12" s="1"/>
  <c r="J104" i="12" s="1"/>
  <c r="E102" i="12"/>
  <c r="I102" i="12" s="1"/>
  <c r="E101" i="12"/>
  <c r="I101" i="12" s="1"/>
  <c r="J101" i="12" s="1"/>
  <c r="E100" i="12"/>
  <c r="I100" i="12" s="1"/>
  <c r="J100" i="12" s="1"/>
  <c r="E99" i="12"/>
  <c r="I99" i="12" s="1"/>
  <c r="J99" i="12" s="1"/>
  <c r="E97" i="12"/>
  <c r="I97" i="12" s="1"/>
  <c r="E96" i="12"/>
  <c r="I96" i="12" s="1"/>
  <c r="J96" i="12" s="1"/>
  <c r="E95" i="12"/>
  <c r="I95" i="12" s="1"/>
  <c r="J95" i="12" s="1"/>
  <c r="E94" i="12"/>
  <c r="I94" i="12" s="1"/>
  <c r="J94" i="12" s="1"/>
  <c r="E93" i="12"/>
  <c r="I93" i="12" s="1"/>
  <c r="J93" i="12" s="1"/>
  <c r="E92" i="12"/>
  <c r="I92" i="12" s="1"/>
  <c r="J92" i="12" s="1"/>
  <c r="E91" i="12"/>
  <c r="I91" i="12" s="1"/>
  <c r="J91" i="12" s="1"/>
  <c r="E89" i="12"/>
  <c r="I89" i="12" s="1"/>
  <c r="J89" i="12" s="1"/>
  <c r="E88" i="12"/>
  <c r="I88" i="12" s="1"/>
  <c r="J88" i="12" s="1"/>
  <c r="E86" i="12"/>
  <c r="I86" i="12" s="1"/>
  <c r="E85" i="12"/>
  <c r="I85" i="12" s="1"/>
  <c r="J85" i="12" s="1"/>
  <c r="E84" i="12"/>
  <c r="I84" i="12" s="1"/>
  <c r="J84" i="12" s="1"/>
  <c r="E83" i="12"/>
  <c r="I83" i="12" s="1"/>
  <c r="J83" i="12" s="1"/>
  <c r="E82" i="12"/>
  <c r="I82" i="12" s="1"/>
  <c r="J82" i="12" s="1"/>
  <c r="E81" i="12"/>
  <c r="I81" i="12" s="1"/>
  <c r="J81" i="12" s="1"/>
  <c r="E80" i="12"/>
  <c r="I80" i="12" s="1"/>
  <c r="J80" i="12" s="1"/>
  <c r="E78" i="12"/>
  <c r="I78" i="12" s="1"/>
  <c r="E77" i="12"/>
  <c r="I77" i="12" s="1"/>
  <c r="J77" i="12" s="1"/>
  <c r="E75" i="12"/>
  <c r="I75" i="12" s="1"/>
  <c r="E74" i="12"/>
  <c r="I74" i="12" s="1"/>
  <c r="J74" i="12" s="1"/>
  <c r="E73" i="12"/>
  <c r="I73" i="12" s="1"/>
  <c r="J73" i="12" s="1"/>
  <c r="E72" i="12"/>
  <c r="I72" i="12" s="1"/>
  <c r="J72" i="12" s="1"/>
  <c r="E71" i="12"/>
  <c r="I71" i="12" s="1"/>
  <c r="J71" i="12" s="1"/>
  <c r="E69" i="12"/>
  <c r="I69" i="12" s="1"/>
  <c r="E68" i="12"/>
  <c r="I68" i="12" s="1"/>
  <c r="E67" i="12"/>
  <c r="I67" i="12" s="1"/>
  <c r="J67" i="12" s="1"/>
  <c r="E66" i="12"/>
  <c r="I66" i="12" s="1"/>
  <c r="J66" i="12" s="1"/>
  <c r="E65" i="12"/>
  <c r="I65" i="12" s="1"/>
  <c r="J65" i="12" s="1"/>
  <c r="E64" i="12"/>
  <c r="I64" i="12" s="1"/>
  <c r="J64" i="12" s="1"/>
  <c r="E63" i="12"/>
  <c r="I63" i="12" s="1"/>
  <c r="J63" i="12" s="1"/>
  <c r="E62" i="12"/>
  <c r="I62" i="12" s="1"/>
  <c r="J62" i="12" s="1"/>
  <c r="E61" i="12"/>
  <c r="I61" i="12" s="1"/>
  <c r="J61" i="12" s="1"/>
  <c r="E60" i="12"/>
  <c r="I60" i="12" s="1"/>
  <c r="J60" i="12" s="1"/>
  <c r="E59" i="12"/>
  <c r="I59" i="12" s="1"/>
  <c r="J59" i="12" s="1"/>
  <c r="E58" i="12"/>
  <c r="I58" i="12" s="1"/>
  <c r="J58" i="12" s="1"/>
  <c r="E56" i="12"/>
  <c r="I56" i="12" s="1"/>
  <c r="E53" i="12"/>
  <c r="I53" i="12" s="1"/>
  <c r="E52" i="12"/>
  <c r="I52" i="12" s="1"/>
  <c r="J52" i="12" s="1"/>
  <c r="E50" i="12"/>
  <c r="I50" i="12" s="1"/>
  <c r="E49" i="12"/>
  <c r="I49" i="12" s="1"/>
  <c r="E48" i="12"/>
  <c r="E47" i="12"/>
  <c r="I47" i="12" s="1"/>
  <c r="E46" i="12"/>
  <c r="I46" i="12" s="1"/>
  <c r="J46" i="12" s="1"/>
  <c r="E45" i="12"/>
  <c r="I45" i="12" s="1"/>
  <c r="J45" i="12" s="1"/>
  <c r="E44" i="12"/>
  <c r="I44" i="12" s="1"/>
  <c r="J44" i="12" s="1"/>
  <c r="E40" i="12"/>
  <c r="I40" i="12" s="1"/>
  <c r="E39" i="12"/>
  <c r="I39" i="12" s="1"/>
  <c r="J39" i="12" s="1"/>
  <c r="E38" i="12"/>
  <c r="I38" i="12" s="1"/>
  <c r="J38" i="12" s="1"/>
  <c r="E37" i="12"/>
  <c r="I37" i="12" s="1"/>
  <c r="E36" i="12"/>
  <c r="I36" i="12" s="1"/>
  <c r="J36" i="12" s="1"/>
  <c r="E35" i="12"/>
  <c r="I35" i="12" s="1"/>
  <c r="J35" i="12" s="1"/>
  <c r="E34" i="12"/>
  <c r="I34" i="12" s="1"/>
  <c r="J34" i="12" s="1"/>
  <c r="E33" i="12"/>
  <c r="I33" i="12" s="1"/>
  <c r="J33" i="12" s="1"/>
  <c r="E32" i="12"/>
  <c r="I32" i="12" s="1"/>
  <c r="J32" i="12" s="1"/>
  <c r="E31" i="12"/>
  <c r="I31" i="12" s="1"/>
  <c r="J31" i="12" s="1"/>
  <c r="E30" i="12"/>
  <c r="I30" i="12" s="1"/>
  <c r="J30" i="12" s="1"/>
  <c r="E29" i="12"/>
  <c r="I29" i="12" s="1"/>
  <c r="J29" i="12" s="1"/>
  <c r="E28" i="12"/>
  <c r="I28" i="12" s="1"/>
  <c r="J28" i="12" s="1"/>
  <c r="E26" i="12"/>
  <c r="I26" i="12" s="1"/>
  <c r="J26" i="12" s="1"/>
  <c r="E24" i="12"/>
  <c r="I24" i="12" s="1"/>
  <c r="E23" i="12"/>
  <c r="I23" i="12" s="1"/>
  <c r="J23" i="12" s="1"/>
  <c r="E22" i="12"/>
  <c r="I22" i="12" s="1"/>
  <c r="J22" i="12" s="1"/>
  <c r="E19" i="12"/>
  <c r="I19" i="12" s="1"/>
  <c r="J19" i="12" s="1"/>
  <c r="E18" i="12"/>
  <c r="I18" i="12" s="1"/>
  <c r="J18" i="12" s="1"/>
  <c r="E17" i="12"/>
  <c r="I17" i="12" s="1"/>
  <c r="J17" i="12" s="1"/>
  <c r="E16" i="12"/>
  <c r="I16" i="12" s="1"/>
  <c r="E15" i="12"/>
  <c r="I15" i="12" s="1"/>
  <c r="J15" i="12" s="1"/>
  <c r="E14" i="12"/>
  <c r="I14" i="12" s="1"/>
  <c r="J14" i="12" s="1"/>
  <c r="E13" i="12"/>
  <c r="I13" i="12" s="1"/>
  <c r="J13" i="12" s="1"/>
  <c r="E12" i="12"/>
  <c r="I12" i="12" s="1"/>
  <c r="J12" i="12" s="1"/>
  <c r="E11" i="12"/>
  <c r="I11" i="12" s="1"/>
  <c r="J11" i="12" s="1"/>
  <c r="E10" i="12"/>
  <c r="I10" i="12" s="1"/>
  <c r="J10" i="12" s="1"/>
  <c r="E9" i="12"/>
  <c r="I9" i="12" s="1"/>
  <c r="J9" i="12" s="1"/>
  <c r="E8" i="12"/>
  <c r="I8" i="12" s="1"/>
  <c r="F795" i="4"/>
  <c r="E781" i="4"/>
  <c r="I781" i="4" s="1"/>
  <c r="E780" i="4"/>
  <c r="I780" i="4" s="1"/>
  <c r="J780" i="4" s="1"/>
  <c r="E778" i="4"/>
  <c r="I778" i="4" s="1"/>
  <c r="J778" i="4" s="1"/>
  <c r="E777" i="4"/>
  <c r="I777" i="4" s="1"/>
  <c r="J777" i="4" s="1"/>
  <c r="E774" i="4"/>
  <c r="I774" i="4" s="1"/>
  <c r="E773" i="4"/>
  <c r="I773" i="4" s="1"/>
  <c r="J773" i="4" s="1"/>
  <c r="E772" i="4"/>
  <c r="I772" i="4" s="1"/>
  <c r="J772" i="4" s="1"/>
  <c r="E771" i="4"/>
  <c r="I771" i="4" s="1"/>
  <c r="J771" i="4" s="1"/>
  <c r="E769" i="4"/>
  <c r="I769" i="4" s="1"/>
  <c r="J769" i="4" s="1"/>
  <c r="E765" i="4"/>
  <c r="I765" i="4" s="1"/>
  <c r="E764" i="4"/>
  <c r="I764" i="4" s="1"/>
  <c r="J764" i="4" s="1"/>
  <c r="E762" i="4"/>
  <c r="I762" i="4" s="1"/>
  <c r="J762" i="4" s="1"/>
  <c r="E761" i="4"/>
  <c r="I761" i="4" s="1"/>
  <c r="J761" i="4" s="1"/>
  <c r="E758" i="4"/>
  <c r="I758" i="4" s="1"/>
  <c r="E757" i="4"/>
  <c r="I757" i="4" s="1"/>
  <c r="J757" i="4" s="1"/>
  <c r="E756" i="4"/>
  <c r="I756" i="4" s="1"/>
  <c r="J756" i="4" s="1"/>
  <c r="E753" i="4"/>
  <c r="I753" i="4" s="1"/>
  <c r="E752" i="4"/>
  <c r="I752" i="4" s="1"/>
  <c r="J752" i="4" s="1"/>
  <c r="E751" i="4"/>
  <c r="I751" i="4" s="1"/>
  <c r="J751" i="4" s="1"/>
  <c r="E749" i="4"/>
  <c r="I749" i="4" s="1"/>
  <c r="J749" i="4" s="1"/>
  <c r="E748" i="4"/>
  <c r="I748" i="4" s="1"/>
  <c r="J748" i="4" s="1"/>
  <c r="E747" i="4"/>
  <c r="I747" i="4" s="1"/>
  <c r="J747" i="4" s="1"/>
  <c r="E745" i="4"/>
  <c r="I745" i="4" s="1"/>
  <c r="J745" i="4" s="1"/>
  <c r="E744" i="4"/>
  <c r="I744" i="4" s="1"/>
  <c r="J744" i="4" s="1"/>
  <c r="E742" i="4"/>
  <c r="I742" i="4" s="1"/>
  <c r="J742" i="4" s="1"/>
  <c r="E741" i="4"/>
  <c r="I741" i="4" s="1"/>
  <c r="J741" i="4" s="1"/>
  <c r="E738" i="4"/>
  <c r="I738" i="4" s="1"/>
  <c r="E736" i="4"/>
  <c r="I736" i="4" s="1"/>
  <c r="E735" i="4"/>
  <c r="I735" i="4" s="1"/>
  <c r="J735" i="4" s="1"/>
  <c r="E734" i="4"/>
  <c r="I734" i="4" s="1"/>
  <c r="E733" i="4"/>
  <c r="I733" i="4" s="1"/>
  <c r="J733" i="4" s="1"/>
  <c r="E732" i="4"/>
  <c r="I732" i="4" s="1"/>
  <c r="J732" i="4" s="1"/>
  <c r="E731" i="4"/>
  <c r="I731" i="4" s="1"/>
  <c r="J731" i="4" s="1"/>
  <c r="E729" i="4"/>
  <c r="I729" i="4" s="1"/>
  <c r="J729" i="4" s="1"/>
  <c r="E727" i="4"/>
  <c r="I727" i="4" s="1"/>
  <c r="E725" i="4"/>
  <c r="I725" i="4" s="1"/>
  <c r="J725" i="4" s="1"/>
  <c r="E724" i="4"/>
  <c r="I724" i="4" s="1"/>
  <c r="J724" i="4" s="1"/>
  <c r="E720" i="4"/>
  <c r="I720" i="4" s="1"/>
  <c r="E719" i="4"/>
  <c r="I719" i="4" s="1"/>
  <c r="J719" i="4" s="1"/>
  <c r="E718" i="4"/>
  <c r="I718" i="4" s="1"/>
  <c r="J718" i="4" s="1"/>
  <c r="E716" i="4"/>
  <c r="I716" i="4" s="1"/>
  <c r="J716" i="4" s="1"/>
  <c r="E714" i="4"/>
  <c r="I714" i="4" s="1"/>
  <c r="J714" i="4" s="1"/>
  <c r="E713" i="4"/>
  <c r="I713" i="4" s="1"/>
  <c r="J713" i="4" s="1"/>
  <c r="E712" i="4"/>
  <c r="I712" i="4" s="1"/>
  <c r="J712" i="4" s="1"/>
  <c r="E711" i="4"/>
  <c r="I711" i="4" s="1"/>
  <c r="J711" i="4" s="1"/>
  <c r="E708" i="4"/>
  <c r="I708" i="4" s="1"/>
  <c r="E706" i="4"/>
  <c r="I706" i="4" s="1"/>
  <c r="E705" i="4"/>
  <c r="I705" i="4" s="1"/>
  <c r="J705" i="4" s="1"/>
  <c r="E704" i="4"/>
  <c r="I704" i="4" s="1"/>
  <c r="J704" i="4" s="1"/>
  <c r="E702" i="4"/>
  <c r="I702" i="4" s="1"/>
  <c r="J702" i="4" s="1"/>
  <c r="E701" i="4"/>
  <c r="I701" i="4" s="1"/>
  <c r="J701" i="4" s="1"/>
  <c r="E699" i="4"/>
  <c r="I699" i="4" s="1"/>
  <c r="J699" i="4" s="1"/>
  <c r="E698" i="4"/>
  <c r="I698" i="4" s="1"/>
  <c r="J698" i="4" s="1"/>
  <c r="E697" i="4"/>
  <c r="I697" i="4" s="1"/>
  <c r="J697" i="4" s="1"/>
  <c r="E694" i="4"/>
  <c r="I694" i="4" s="1"/>
  <c r="E693" i="4"/>
  <c r="I693" i="4" s="1"/>
  <c r="J693" i="4" s="1"/>
  <c r="E692" i="4"/>
  <c r="I692" i="4" s="1"/>
  <c r="J692" i="4" s="1"/>
  <c r="E691" i="4"/>
  <c r="I691" i="4" s="1"/>
  <c r="J691" i="4" s="1"/>
  <c r="E689" i="4"/>
  <c r="I689" i="4" s="1"/>
  <c r="J689" i="4" s="1"/>
  <c r="E688" i="4"/>
  <c r="I688" i="4" s="1"/>
  <c r="J688" i="4" s="1"/>
  <c r="E687" i="4"/>
  <c r="I687" i="4" s="1"/>
  <c r="J687" i="4" s="1"/>
  <c r="E684" i="4"/>
  <c r="I684" i="4" s="1"/>
  <c r="E683" i="4"/>
  <c r="I683" i="4" s="1"/>
  <c r="J683" i="4" s="1"/>
  <c r="E682" i="4"/>
  <c r="I682" i="4" s="1"/>
  <c r="J682" i="4" s="1"/>
  <c r="E680" i="4"/>
  <c r="I680" i="4" s="1"/>
  <c r="J680" i="4" s="1"/>
  <c r="E679" i="4"/>
  <c r="I679" i="4" s="1"/>
  <c r="J679" i="4" s="1"/>
  <c r="E678" i="4"/>
  <c r="I678" i="4" s="1"/>
  <c r="J678" i="4" s="1"/>
  <c r="E677" i="4"/>
  <c r="I677" i="4" s="1"/>
  <c r="J677" i="4" s="1"/>
  <c r="E674" i="4"/>
  <c r="I674" i="4" s="1"/>
  <c r="E673" i="4"/>
  <c r="I673" i="4" s="1"/>
  <c r="J673" i="4" s="1"/>
  <c r="E672" i="4"/>
  <c r="I672" i="4" s="1"/>
  <c r="J672" i="4" s="1"/>
  <c r="E671" i="4"/>
  <c r="I671" i="4" s="1"/>
  <c r="J671" i="4" s="1"/>
  <c r="E669" i="4"/>
  <c r="I669" i="4" s="1"/>
  <c r="J669" i="4" s="1"/>
  <c r="E667" i="4"/>
  <c r="I667" i="4" s="1"/>
  <c r="J667" i="4" s="1"/>
  <c r="E666" i="4"/>
  <c r="I666" i="4" s="1"/>
  <c r="J666" i="4" s="1"/>
  <c r="E664" i="4"/>
  <c r="I664" i="4" s="1"/>
  <c r="J664" i="4" s="1"/>
  <c r="E663" i="4"/>
  <c r="I663" i="4" s="1"/>
  <c r="J663" i="4" s="1"/>
  <c r="E661" i="4"/>
  <c r="I661" i="4" s="1"/>
  <c r="J661" i="4" s="1"/>
  <c r="E659" i="4"/>
  <c r="I659" i="4" s="1"/>
  <c r="J659" i="4" s="1"/>
  <c r="E656" i="4"/>
  <c r="I656" i="4" s="1"/>
  <c r="E654" i="4"/>
  <c r="I654" i="4" s="1"/>
  <c r="E653" i="4"/>
  <c r="I653" i="4" s="1"/>
  <c r="J653" i="4" s="1"/>
  <c r="E652" i="4"/>
  <c r="I652" i="4" s="1"/>
  <c r="J652" i="4" s="1"/>
  <c r="E651" i="4"/>
  <c r="I651" i="4" s="1"/>
  <c r="J651" i="4" s="1"/>
  <c r="E650" i="4"/>
  <c r="I650" i="4" s="1"/>
  <c r="J650" i="4" s="1"/>
  <c r="E649" i="4"/>
  <c r="I649" i="4" s="1"/>
  <c r="J649" i="4" s="1"/>
  <c r="E648" i="4"/>
  <c r="I648" i="4" s="1"/>
  <c r="J648" i="4" s="1"/>
  <c r="E645" i="4"/>
  <c r="I645" i="4" s="1"/>
  <c r="E644" i="4"/>
  <c r="I644" i="4" s="1"/>
  <c r="J644" i="4" s="1"/>
  <c r="E642" i="4"/>
  <c r="I642" i="4" s="1"/>
  <c r="J642" i="4" s="1"/>
  <c r="E641" i="4"/>
  <c r="I641" i="4" s="1"/>
  <c r="J641" i="4" s="1"/>
  <c r="E639" i="4"/>
  <c r="I639" i="4" s="1"/>
  <c r="J639" i="4" s="1"/>
  <c r="E638" i="4"/>
  <c r="I638" i="4" s="1"/>
  <c r="J638" i="4" s="1"/>
  <c r="E636" i="4"/>
  <c r="I636" i="4" s="1"/>
  <c r="J636" i="4" s="1"/>
  <c r="E635" i="4"/>
  <c r="I635" i="4" s="1"/>
  <c r="J635" i="4" s="1"/>
  <c r="E634" i="4"/>
  <c r="I634" i="4" s="1"/>
  <c r="J634" i="4" s="1"/>
  <c r="E633" i="4"/>
  <c r="I633" i="4" s="1"/>
  <c r="J633" i="4" s="1"/>
  <c r="E632" i="4"/>
  <c r="I632" i="4" s="1"/>
  <c r="J632" i="4" s="1"/>
  <c r="E629" i="4"/>
  <c r="I629" i="4" s="1"/>
  <c r="E628" i="4"/>
  <c r="I628" i="4" s="1"/>
  <c r="J628" i="4" s="1"/>
  <c r="E627" i="4"/>
  <c r="I627" i="4" s="1"/>
  <c r="J627" i="4" s="1"/>
  <c r="E625" i="4"/>
  <c r="I625" i="4" s="1"/>
  <c r="J625" i="4" s="1"/>
  <c r="E624" i="4"/>
  <c r="I624" i="4" s="1"/>
  <c r="J624" i="4" s="1"/>
  <c r="E622" i="4"/>
  <c r="I622" i="4" s="1"/>
  <c r="J622" i="4" s="1"/>
  <c r="E621" i="4"/>
  <c r="I621" i="4" s="1"/>
  <c r="J621" i="4" s="1"/>
  <c r="E619" i="4"/>
  <c r="I619" i="4" s="1"/>
  <c r="J619" i="4" s="1"/>
  <c r="E618" i="4"/>
  <c r="I618" i="4" s="1"/>
  <c r="J618" i="4" s="1"/>
  <c r="E615" i="4"/>
  <c r="I615" i="4" s="1"/>
  <c r="E613" i="4"/>
  <c r="I613" i="4" s="1"/>
  <c r="E612" i="4"/>
  <c r="I612" i="4" s="1"/>
  <c r="J612" i="4" s="1"/>
  <c r="E610" i="4"/>
  <c r="I610" i="4" s="1"/>
  <c r="E609" i="4"/>
  <c r="I609" i="4" s="1"/>
  <c r="J609" i="4" s="1"/>
  <c r="E608" i="4"/>
  <c r="I608" i="4" s="1"/>
  <c r="J608" i="4" s="1"/>
  <c r="E607" i="4"/>
  <c r="I607" i="4" s="1"/>
  <c r="J607" i="4" s="1"/>
  <c r="E604" i="4"/>
  <c r="I604" i="4" s="1"/>
  <c r="E603" i="4"/>
  <c r="I603" i="4" s="1"/>
  <c r="J603" i="4" s="1"/>
  <c r="E600" i="4"/>
  <c r="I600" i="4" s="1"/>
  <c r="J600" i="4" s="1"/>
  <c r="E599" i="4"/>
  <c r="I599" i="4" s="1"/>
  <c r="J599" i="4" s="1"/>
  <c r="E596" i="4"/>
  <c r="I596" i="4" s="1"/>
  <c r="E595" i="4"/>
  <c r="I595" i="4" s="1"/>
  <c r="E594" i="4"/>
  <c r="I594" i="4" s="1"/>
  <c r="J594" i="4" s="1"/>
  <c r="E593" i="4"/>
  <c r="I593" i="4" s="1"/>
  <c r="J593" i="4" s="1"/>
  <c r="E590" i="4"/>
  <c r="I590" i="4" s="1"/>
  <c r="E589" i="4"/>
  <c r="I589" i="4" s="1"/>
  <c r="J589" i="4" s="1"/>
  <c r="E588" i="4"/>
  <c r="I588" i="4" s="1"/>
  <c r="J588" i="4" s="1"/>
  <c r="E587" i="4"/>
  <c r="I587" i="4" s="1"/>
  <c r="J587" i="4" s="1"/>
  <c r="E584" i="4"/>
  <c r="I584" i="4" s="1"/>
  <c r="E583" i="4"/>
  <c r="I583" i="4" s="1"/>
  <c r="J583" i="4" s="1"/>
  <c r="E582" i="4"/>
  <c r="I582" i="4" s="1"/>
  <c r="J582" i="4" s="1"/>
  <c r="E580" i="4"/>
  <c r="I580" i="4" s="1"/>
  <c r="J580" i="4" s="1"/>
  <c r="E578" i="4"/>
  <c r="I578" i="4" s="1"/>
  <c r="J578" i="4" s="1"/>
  <c r="E577" i="4"/>
  <c r="I577" i="4" s="1"/>
  <c r="J577" i="4" s="1"/>
  <c r="E574" i="4"/>
  <c r="I574" i="4" s="1"/>
  <c r="E573" i="4"/>
  <c r="I573" i="4" s="1"/>
  <c r="J573" i="4" s="1"/>
  <c r="E572" i="4"/>
  <c r="I572" i="4" s="1"/>
  <c r="J572" i="4" s="1"/>
  <c r="E570" i="4"/>
  <c r="I570" i="4" s="1"/>
  <c r="J570" i="4" s="1"/>
  <c r="E567" i="4"/>
  <c r="I567" i="4" s="1"/>
  <c r="E566" i="4"/>
  <c r="I566" i="4" s="1"/>
  <c r="J566" i="4" s="1"/>
  <c r="E565" i="4"/>
  <c r="I565" i="4" s="1"/>
  <c r="J565" i="4" s="1"/>
  <c r="E563" i="4"/>
  <c r="I563" i="4" s="1"/>
  <c r="J563" i="4" s="1"/>
  <c r="E562" i="4"/>
  <c r="I562" i="4" s="1"/>
  <c r="J562" i="4" s="1"/>
  <c r="E560" i="4"/>
  <c r="I560" i="4" s="1"/>
  <c r="J560" i="4" s="1"/>
  <c r="E559" i="4"/>
  <c r="I559" i="4" s="1"/>
  <c r="J559" i="4" s="1"/>
  <c r="E558" i="4"/>
  <c r="I558" i="4" s="1"/>
  <c r="J558" i="4" s="1"/>
  <c r="E556" i="4"/>
  <c r="I556" i="4" s="1"/>
  <c r="J556" i="4" s="1"/>
  <c r="E555" i="4"/>
  <c r="I555" i="4" s="1"/>
  <c r="J555" i="4" s="1"/>
  <c r="E552" i="4"/>
  <c r="I552" i="4" s="1"/>
  <c r="E550" i="4"/>
  <c r="I550" i="4" s="1"/>
  <c r="E549" i="4"/>
  <c r="I549" i="4" s="1"/>
  <c r="J549" i="4" s="1"/>
  <c r="E548" i="4"/>
  <c r="I548" i="4" s="1"/>
  <c r="J548" i="4" s="1"/>
  <c r="E547" i="4"/>
  <c r="I547" i="4" s="1"/>
  <c r="J547" i="4" s="1"/>
  <c r="E545" i="4"/>
  <c r="I545" i="4" s="1"/>
  <c r="E544" i="4"/>
  <c r="I544" i="4" s="1"/>
  <c r="J544" i="4" s="1"/>
  <c r="E541" i="4"/>
  <c r="I541" i="4" s="1"/>
  <c r="E540" i="4"/>
  <c r="I540" i="4" s="1"/>
  <c r="J540" i="4" s="1"/>
  <c r="E539" i="4"/>
  <c r="I539" i="4" s="1"/>
  <c r="J539" i="4" s="1"/>
  <c r="E537" i="4"/>
  <c r="I537" i="4" s="1"/>
  <c r="J537" i="4" s="1"/>
  <c r="E536" i="4"/>
  <c r="I536" i="4" s="1"/>
  <c r="J536" i="4" s="1"/>
  <c r="E534" i="4"/>
  <c r="I534" i="4" s="1"/>
  <c r="J534" i="4" s="1"/>
  <c r="E533" i="4"/>
  <c r="I533" i="4" s="1"/>
  <c r="J533" i="4" s="1"/>
  <c r="E532" i="4"/>
  <c r="I532" i="4" s="1"/>
  <c r="J532" i="4" s="1"/>
  <c r="E530" i="4"/>
  <c r="I530" i="4" s="1"/>
  <c r="J530" i="4" s="1"/>
  <c r="E529" i="4"/>
  <c r="I529" i="4" s="1"/>
  <c r="J529" i="4" s="1"/>
  <c r="E526" i="4"/>
  <c r="I526" i="4" s="1"/>
  <c r="E524" i="4"/>
  <c r="I524" i="4" s="1"/>
  <c r="E523" i="4"/>
  <c r="I523" i="4" s="1"/>
  <c r="E522" i="4"/>
  <c r="I522" i="4" s="1"/>
  <c r="J522" i="4" s="1"/>
  <c r="E521" i="4"/>
  <c r="I521" i="4" s="1"/>
  <c r="J521" i="4" s="1"/>
  <c r="E519" i="4"/>
  <c r="I519" i="4" s="1"/>
  <c r="J519" i="4" s="1"/>
  <c r="E518" i="4"/>
  <c r="I518" i="4" s="1"/>
  <c r="J518" i="4" s="1"/>
  <c r="E517" i="4"/>
  <c r="I517" i="4" s="1"/>
  <c r="J517" i="4" s="1"/>
  <c r="E516" i="4"/>
  <c r="I516" i="4" s="1"/>
  <c r="J516" i="4" s="1"/>
  <c r="E513" i="4"/>
  <c r="I513" i="4" s="1"/>
  <c r="E512" i="4"/>
  <c r="I512" i="4" s="1"/>
  <c r="E511" i="4"/>
  <c r="I511" i="4" s="1"/>
  <c r="J511" i="4" s="1"/>
  <c r="E509" i="4"/>
  <c r="I509" i="4" s="1"/>
  <c r="J509" i="4" s="1"/>
  <c r="E508" i="4"/>
  <c r="I508" i="4" s="1"/>
  <c r="J508" i="4" s="1"/>
  <c r="E505" i="4"/>
  <c r="I505" i="4" s="1"/>
  <c r="E504" i="4"/>
  <c r="I504" i="4" s="1"/>
  <c r="J504" i="4" s="1"/>
  <c r="E503" i="4"/>
  <c r="I503" i="4" s="1"/>
  <c r="J503" i="4" s="1"/>
  <c r="E502" i="4"/>
  <c r="I502" i="4" s="1"/>
  <c r="J502" i="4" s="1"/>
  <c r="E501" i="4"/>
  <c r="I501" i="4" s="1"/>
  <c r="J501" i="4" s="1"/>
  <c r="E500" i="4"/>
  <c r="I500" i="4" s="1"/>
  <c r="J500" i="4" s="1"/>
  <c r="E497" i="4"/>
  <c r="I497" i="4" s="1"/>
  <c r="E496" i="4"/>
  <c r="I496" i="4" s="1"/>
  <c r="J496" i="4" s="1"/>
  <c r="E493" i="4"/>
  <c r="I493" i="4" s="1"/>
  <c r="J493" i="4" s="1"/>
  <c r="E490" i="4"/>
  <c r="I490" i="4" s="1"/>
  <c r="J490" i="4" s="1"/>
  <c r="E489" i="4"/>
  <c r="I489" i="4" s="1"/>
  <c r="J489" i="4" s="1"/>
  <c r="E486" i="4"/>
  <c r="I486" i="4" s="1"/>
  <c r="J486" i="4" s="1"/>
  <c r="E485" i="4"/>
  <c r="I485" i="4" s="1"/>
  <c r="J485" i="4" s="1"/>
  <c r="E482" i="4"/>
  <c r="I482" i="4" s="1"/>
  <c r="E480" i="4"/>
  <c r="I480" i="4" s="1"/>
  <c r="E479" i="4"/>
  <c r="I479" i="4" s="1"/>
  <c r="J479" i="4" s="1"/>
  <c r="E478" i="4"/>
  <c r="I478" i="4" s="1"/>
  <c r="J478" i="4" s="1"/>
  <c r="E477" i="4"/>
  <c r="I477" i="4" s="1"/>
  <c r="J477" i="4" s="1"/>
  <c r="E476" i="4"/>
  <c r="I476" i="4" s="1"/>
  <c r="J476" i="4" s="1"/>
  <c r="E475" i="4"/>
  <c r="I475" i="4" s="1"/>
  <c r="J475" i="4" s="1"/>
  <c r="E472" i="4"/>
  <c r="I472" i="4" s="1"/>
  <c r="E471" i="4"/>
  <c r="I471" i="4" s="1"/>
  <c r="J471" i="4" s="1"/>
  <c r="E466" i="4"/>
  <c r="I466" i="4" s="1"/>
  <c r="E465" i="4"/>
  <c r="I465" i="4" s="1"/>
  <c r="J465" i="4" s="1"/>
  <c r="E464" i="4"/>
  <c r="I464" i="4" s="1"/>
  <c r="J464" i="4" s="1"/>
  <c r="E462" i="4"/>
  <c r="I462" i="4" s="1"/>
  <c r="J462" i="4" s="1"/>
  <c r="E461" i="4"/>
  <c r="I461" i="4" s="1"/>
  <c r="J461" i="4" s="1"/>
  <c r="E459" i="4"/>
  <c r="I459" i="4" s="1"/>
  <c r="J459" i="4" s="1"/>
  <c r="E458" i="4"/>
  <c r="I458" i="4" s="1"/>
  <c r="J458" i="4" s="1"/>
  <c r="E456" i="4"/>
  <c r="I456" i="4" s="1"/>
  <c r="J456" i="4" s="1"/>
  <c r="E455" i="4"/>
  <c r="I455" i="4" s="1"/>
  <c r="J455" i="4" s="1"/>
  <c r="E452" i="4"/>
  <c r="I452" i="4" s="1"/>
  <c r="E450" i="4"/>
  <c r="I450" i="4" s="1"/>
  <c r="E449" i="4"/>
  <c r="I449" i="4" s="1"/>
  <c r="E448" i="4"/>
  <c r="E447" i="4"/>
  <c r="I447" i="4" s="1"/>
  <c r="E446" i="4"/>
  <c r="I446" i="4" s="1"/>
  <c r="E445" i="4"/>
  <c r="I445" i="4" s="1"/>
  <c r="E444" i="4"/>
  <c r="E443" i="4"/>
  <c r="I443" i="4" s="1"/>
  <c r="E442" i="4"/>
  <c r="E796" i="4" s="1"/>
  <c r="E441" i="4"/>
  <c r="I441" i="4" s="1"/>
  <c r="E440" i="4"/>
  <c r="I440" i="4" s="1"/>
  <c r="J440" i="4" s="1"/>
  <c r="E438" i="4"/>
  <c r="I438" i="4" s="1"/>
  <c r="J438" i="4" s="1"/>
  <c r="E435" i="4"/>
  <c r="I435" i="4" s="1"/>
  <c r="E434" i="4"/>
  <c r="I434" i="4" s="1"/>
  <c r="J434" i="4" s="1"/>
  <c r="E433" i="4"/>
  <c r="I433" i="4" s="1"/>
  <c r="J433" i="4" s="1"/>
  <c r="E431" i="4"/>
  <c r="I431" i="4" s="1"/>
  <c r="J431" i="4" s="1"/>
  <c r="E430" i="4"/>
  <c r="I430" i="4" s="1"/>
  <c r="J430" i="4" s="1"/>
  <c r="E429" i="4"/>
  <c r="I429" i="4" s="1"/>
  <c r="J429" i="4" s="1"/>
  <c r="E428" i="4"/>
  <c r="I428" i="4" s="1"/>
  <c r="J428" i="4" s="1"/>
  <c r="E425" i="4"/>
  <c r="I425" i="4" s="1"/>
  <c r="E424" i="4"/>
  <c r="I424" i="4" s="1"/>
  <c r="J424" i="4" s="1"/>
  <c r="E421" i="4"/>
  <c r="I421" i="4" s="1"/>
  <c r="J421" i="4" s="1"/>
  <c r="E420" i="4"/>
  <c r="I420" i="4" s="1"/>
  <c r="J420" i="4" s="1"/>
  <c r="E419" i="4"/>
  <c r="I419" i="4" s="1"/>
  <c r="J419" i="4" s="1"/>
  <c r="E416" i="4"/>
  <c r="I416" i="4" s="1"/>
  <c r="E415" i="4"/>
  <c r="I415" i="4" s="1"/>
  <c r="J415" i="4" s="1"/>
  <c r="E414" i="4"/>
  <c r="I414" i="4" s="1"/>
  <c r="J414" i="4" s="1"/>
  <c r="E412" i="4"/>
  <c r="I412" i="4" s="1"/>
  <c r="J412" i="4" s="1"/>
  <c r="E410" i="4"/>
  <c r="I410" i="4" s="1"/>
  <c r="J410" i="4" s="1"/>
  <c r="E409" i="4"/>
  <c r="I409" i="4" s="1"/>
  <c r="J409" i="4" s="1"/>
  <c r="E407" i="4"/>
  <c r="I407" i="4" s="1"/>
  <c r="J407" i="4" s="1"/>
  <c r="E406" i="4"/>
  <c r="I406" i="4" s="1"/>
  <c r="J406" i="4" s="1"/>
  <c r="E405" i="4"/>
  <c r="I405" i="4" s="1"/>
  <c r="J405" i="4" s="1"/>
  <c r="E401" i="4"/>
  <c r="I401" i="4" s="1"/>
  <c r="E400" i="4"/>
  <c r="I400" i="4" s="1"/>
  <c r="J400" i="4" s="1"/>
  <c r="E399" i="4"/>
  <c r="I399" i="4" s="1"/>
  <c r="J399" i="4" s="1"/>
  <c r="E397" i="4"/>
  <c r="I397" i="4" s="1"/>
  <c r="J397" i="4" s="1"/>
  <c r="E395" i="4"/>
  <c r="I395" i="4" s="1"/>
  <c r="J395" i="4" s="1"/>
  <c r="E394" i="4"/>
  <c r="I394" i="4" s="1"/>
  <c r="J394" i="4" s="1"/>
  <c r="E391" i="4"/>
  <c r="I391" i="4" s="1"/>
  <c r="J391" i="4" s="1"/>
  <c r="E388" i="4"/>
  <c r="I388" i="4" s="1"/>
  <c r="E386" i="4"/>
  <c r="I386" i="4" s="1"/>
  <c r="E385" i="4"/>
  <c r="I385" i="4" s="1"/>
  <c r="J385" i="4" s="1"/>
  <c r="E382" i="4"/>
  <c r="I382" i="4" s="1"/>
  <c r="J382" i="4" s="1"/>
  <c r="E381" i="4"/>
  <c r="I381" i="4" s="1"/>
  <c r="J381" i="4" s="1"/>
  <c r="E378" i="4"/>
  <c r="I378" i="4" s="1"/>
  <c r="E377" i="4"/>
  <c r="I377" i="4" s="1"/>
  <c r="J377" i="4" s="1"/>
  <c r="E371" i="4"/>
  <c r="I371" i="4" s="1"/>
  <c r="J371" i="4" s="1"/>
  <c r="E366" i="4"/>
  <c r="I366" i="4" s="1"/>
  <c r="E365" i="4"/>
  <c r="I365" i="4" s="1"/>
  <c r="J365" i="4" s="1"/>
  <c r="E364" i="4"/>
  <c r="I364" i="4" s="1"/>
  <c r="J364" i="4" s="1"/>
  <c r="E363" i="4"/>
  <c r="I363" i="4" s="1"/>
  <c r="J363" i="4" s="1"/>
  <c r="E360" i="4"/>
  <c r="I360" i="4" s="1"/>
  <c r="E359" i="4"/>
  <c r="I359" i="4" s="1"/>
  <c r="J359" i="4" s="1"/>
  <c r="E358" i="4"/>
  <c r="I358" i="4" s="1"/>
  <c r="J358" i="4" s="1"/>
  <c r="E357" i="4"/>
  <c r="I357" i="4" s="1"/>
  <c r="J357" i="4" s="1"/>
  <c r="E354" i="4"/>
  <c r="I354" i="4" s="1"/>
  <c r="E353" i="4"/>
  <c r="I353" i="4" s="1"/>
  <c r="J353" i="4" s="1"/>
  <c r="E351" i="4"/>
  <c r="I351" i="4" s="1"/>
  <c r="J351" i="4" s="1"/>
  <c r="E350" i="4"/>
  <c r="I350" i="4" s="1"/>
  <c r="J350" i="4" s="1"/>
  <c r="E349" i="4"/>
  <c r="I349" i="4" s="1"/>
  <c r="J349" i="4" s="1"/>
  <c r="E346" i="4"/>
  <c r="I346" i="4" s="1"/>
  <c r="E345" i="4"/>
  <c r="I345" i="4" s="1"/>
  <c r="J345" i="4" s="1"/>
  <c r="E343" i="4"/>
  <c r="I343" i="4" s="1"/>
  <c r="J343" i="4" s="1"/>
  <c r="E342" i="4"/>
  <c r="I342" i="4" s="1"/>
  <c r="J342" i="4" s="1"/>
  <c r="E340" i="4"/>
  <c r="I340" i="4" s="1"/>
  <c r="J340" i="4" s="1"/>
  <c r="E339" i="4"/>
  <c r="I339" i="4" s="1"/>
  <c r="J339" i="4" s="1"/>
  <c r="E338" i="4"/>
  <c r="I338" i="4" s="1"/>
  <c r="J338" i="4" s="1"/>
  <c r="E337" i="4"/>
  <c r="I337" i="4" s="1"/>
  <c r="J337" i="4" s="1"/>
  <c r="E334" i="4"/>
  <c r="I334" i="4" s="1"/>
  <c r="E333" i="4"/>
  <c r="I333" i="4" s="1"/>
  <c r="J333" i="4" s="1"/>
  <c r="E331" i="4"/>
  <c r="I331" i="4" s="1"/>
  <c r="J331" i="4" s="1"/>
  <c r="E329" i="4"/>
  <c r="I329" i="4" s="1"/>
  <c r="J329" i="4" s="1"/>
  <c r="E327" i="4"/>
  <c r="I327" i="4" s="1"/>
  <c r="J327" i="4" s="1"/>
  <c r="E326" i="4"/>
  <c r="I326" i="4" s="1"/>
  <c r="J326" i="4" s="1"/>
  <c r="E324" i="4"/>
  <c r="I324" i="4" s="1"/>
  <c r="J324" i="4" s="1"/>
  <c r="E321" i="4"/>
  <c r="I321" i="4" s="1"/>
  <c r="E320" i="4"/>
  <c r="I320" i="4" s="1"/>
  <c r="J320" i="4" s="1"/>
  <c r="E319" i="4"/>
  <c r="I319" i="4" s="1"/>
  <c r="J319" i="4" s="1"/>
  <c r="E317" i="4"/>
  <c r="I317" i="4" s="1"/>
  <c r="J317" i="4" s="1"/>
  <c r="E315" i="4"/>
  <c r="I315" i="4" s="1"/>
  <c r="J315" i="4" s="1"/>
  <c r="E313" i="4"/>
  <c r="I313" i="4" s="1"/>
  <c r="J313" i="4" s="1"/>
  <c r="E312" i="4"/>
  <c r="I312" i="4" s="1"/>
  <c r="J312" i="4" s="1"/>
  <c r="E311" i="4"/>
  <c r="I311" i="4" s="1"/>
  <c r="J311" i="4" s="1"/>
  <c r="E310" i="4"/>
  <c r="I310" i="4" s="1"/>
  <c r="J310" i="4" s="1"/>
  <c r="E309" i="4"/>
  <c r="I309" i="4" s="1"/>
  <c r="J309" i="4" s="1"/>
  <c r="E306" i="4"/>
  <c r="I306" i="4" s="1"/>
  <c r="E305" i="4"/>
  <c r="I305" i="4" s="1"/>
  <c r="J305" i="4" s="1"/>
  <c r="E304" i="4"/>
  <c r="I304" i="4" s="1"/>
  <c r="J304" i="4" s="1"/>
  <c r="E303" i="4"/>
  <c r="I303" i="4" s="1"/>
  <c r="J303" i="4" s="1"/>
  <c r="E302" i="4"/>
  <c r="I302" i="4" s="1"/>
  <c r="J302" i="4" s="1"/>
  <c r="E299" i="4"/>
  <c r="I299" i="4" s="1"/>
  <c r="E298" i="4"/>
  <c r="I298" i="4" s="1"/>
  <c r="J298" i="4" s="1"/>
  <c r="E296" i="4"/>
  <c r="I296" i="4" s="1"/>
  <c r="J296" i="4" s="1"/>
  <c r="E295" i="4"/>
  <c r="I295" i="4" s="1"/>
  <c r="J295" i="4" s="1"/>
  <c r="E293" i="4"/>
  <c r="I293" i="4" s="1"/>
  <c r="J293" i="4" s="1"/>
  <c r="E292" i="4"/>
  <c r="I292" i="4" s="1"/>
  <c r="J292" i="4" s="1"/>
  <c r="E291" i="4"/>
  <c r="I291" i="4" s="1"/>
  <c r="J291" i="4" s="1"/>
  <c r="E290" i="4"/>
  <c r="I290" i="4" s="1"/>
  <c r="J290" i="4" s="1"/>
  <c r="E289" i="4"/>
  <c r="I289" i="4" s="1"/>
  <c r="J289" i="4" s="1"/>
  <c r="E286" i="4"/>
  <c r="I286" i="4" s="1"/>
  <c r="E285" i="4"/>
  <c r="I285" i="4" s="1"/>
  <c r="J285" i="4" s="1"/>
  <c r="E284" i="4"/>
  <c r="I284" i="4" s="1"/>
  <c r="J284" i="4" s="1"/>
  <c r="E283" i="4"/>
  <c r="I283" i="4" s="1"/>
  <c r="J283" i="4" s="1"/>
  <c r="E281" i="4"/>
  <c r="I281" i="4" s="1"/>
  <c r="J281" i="4" s="1"/>
  <c r="E280" i="4"/>
  <c r="I280" i="4" s="1"/>
  <c r="J280" i="4" s="1"/>
  <c r="E279" i="4"/>
  <c r="I279" i="4" s="1"/>
  <c r="J279" i="4" s="1"/>
  <c r="E276" i="4"/>
  <c r="I276" i="4" s="1"/>
  <c r="E274" i="4"/>
  <c r="I274" i="4" s="1"/>
  <c r="E273" i="4"/>
  <c r="I273" i="4" s="1"/>
  <c r="J273" i="4" s="1"/>
  <c r="E271" i="4"/>
  <c r="I271" i="4" s="1"/>
  <c r="J271" i="4" s="1"/>
  <c r="E270" i="4"/>
  <c r="I270" i="4" s="1"/>
  <c r="J270" i="4" s="1"/>
  <c r="E268" i="4"/>
  <c r="I268" i="4" s="1"/>
  <c r="J268" i="4" s="1"/>
  <c r="E267" i="4"/>
  <c r="I267" i="4" s="1"/>
  <c r="J267" i="4" s="1"/>
  <c r="E263" i="4"/>
  <c r="I263" i="4" s="1"/>
  <c r="E262" i="4"/>
  <c r="I262" i="4" s="1"/>
  <c r="J262" i="4" s="1"/>
  <c r="E259" i="4"/>
  <c r="I259" i="4" s="1"/>
  <c r="E258" i="4"/>
  <c r="I258" i="4" s="1"/>
  <c r="J258" i="4" s="1"/>
  <c r="E256" i="4"/>
  <c r="I256" i="4" s="1"/>
  <c r="J256" i="4" s="1"/>
  <c r="E255" i="4"/>
  <c r="I255" i="4" s="1"/>
  <c r="J255" i="4" s="1"/>
  <c r="E253" i="4"/>
  <c r="I253" i="4" s="1"/>
  <c r="J253" i="4" s="1"/>
  <c r="E252" i="4"/>
  <c r="I252" i="4" s="1"/>
  <c r="J252" i="4" s="1"/>
  <c r="E251" i="4"/>
  <c r="I251" i="4" s="1"/>
  <c r="J251" i="4" s="1"/>
  <c r="E248" i="4"/>
  <c r="I248" i="4" s="1"/>
  <c r="E237" i="4"/>
  <c r="I237" i="4" s="1"/>
  <c r="E236" i="4"/>
  <c r="I236" i="4" s="1"/>
  <c r="J236" i="4" s="1"/>
  <c r="E234" i="4"/>
  <c r="I234" i="4" s="1"/>
  <c r="J234" i="4" s="1"/>
  <c r="E233" i="4"/>
  <c r="I233" i="4" s="1"/>
  <c r="J233" i="4" s="1"/>
  <c r="E231" i="4"/>
  <c r="I231" i="4" s="1"/>
  <c r="J231" i="4" s="1"/>
  <c r="E230" i="4"/>
  <c r="I230" i="4" s="1"/>
  <c r="J230" i="4" s="1"/>
  <c r="E229" i="4"/>
  <c r="I229" i="4" s="1"/>
  <c r="J229" i="4" s="1"/>
  <c r="E213" i="4"/>
  <c r="I213" i="4" s="1"/>
  <c r="E212" i="4"/>
  <c r="I212" i="4" s="1"/>
  <c r="E210" i="4"/>
  <c r="I210" i="4" s="1"/>
  <c r="J210" i="4" s="1"/>
  <c r="E209" i="4"/>
  <c r="I209" i="4" s="1"/>
  <c r="J209" i="4" s="1"/>
  <c r="E207" i="4"/>
  <c r="I207" i="4" s="1"/>
  <c r="J207" i="4" s="1"/>
  <c r="E202" i="4"/>
  <c r="I202" i="4" s="1"/>
  <c r="E201" i="4"/>
  <c r="I201" i="4" s="1"/>
  <c r="J201" i="4" s="1"/>
  <c r="E200" i="4"/>
  <c r="I200" i="4" s="1"/>
  <c r="J200" i="4" s="1"/>
  <c r="E198" i="4"/>
  <c r="I198" i="4" s="1"/>
  <c r="J198" i="4" s="1"/>
  <c r="E196" i="4"/>
  <c r="I196" i="4" s="1"/>
  <c r="J196" i="4" s="1"/>
  <c r="E195" i="4"/>
  <c r="I195" i="4" s="1"/>
  <c r="J195" i="4" s="1"/>
  <c r="E192" i="4"/>
  <c r="I192" i="4" s="1"/>
  <c r="E191" i="4"/>
  <c r="I191" i="4" s="1"/>
  <c r="J191" i="4" s="1"/>
  <c r="E189" i="4"/>
  <c r="I189" i="4" s="1"/>
  <c r="J189" i="4" s="1"/>
  <c r="E188" i="4"/>
  <c r="I188" i="4" s="1"/>
  <c r="J188" i="4" s="1"/>
  <c r="E187" i="4"/>
  <c r="I187" i="4" s="1"/>
  <c r="J187" i="4" s="1"/>
  <c r="E186" i="4"/>
  <c r="I186" i="4" s="1"/>
  <c r="J186" i="4" s="1"/>
  <c r="E183" i="4"/>
  <c r="I183" i="4" s="1"/>
  <c r="E174" i="4"/>
  <c r="I174" i="4" s="1"/>
  <c r="E171" i="4"/>
  <c r="I171" i="4" s="1"/>
  <c r="J171" i="4" s="1"/>
  <c r="E170" i="4"/>
  <c r="I170" i="4" s="1"/>
  <c r="J170" i="4" s="1"/>
  <c r="E168" i="4"/>
  <c r="I168" i="4" s="1"/>
  <c r="J168" i="4" s="1"/>
  <c r="E163" i="4"/>
  <c r="I163" i="4" s="1"/>
  <c r="E162" i="4"/>
  <c r="I162" i="4" s="1"/>
  <c r="J162" i="4" s="1"/>
  <c r="E160" i="4"/>
  <c r="I160" i="4" s="1"/>
  <c r="J160" i="4" s="1"/>
  <c r="E157" i="4"/>
  <c r="I157" i="4" s="1"/>
  <c r="E153" i="4"/>
  <c r="I153" i="4" s="1"/>
  <c r="J153" i="4" s="1"/>
  <c r="E152" i="4"/>
  <c r="I152" i="4" s="1"/>
  <c r="J152" i="4" s="1"/>
  <c r="E148" i="4"/>
  <c r="I148" i="4" s="1"/>
  <c r="E147" i="4"/>
  <c r="I147" i="4" s="1"/>
  <c r="J147" i="4" s="1"/>
  <c r="E145" i="4"/>
  <c r="I145" i="4" s="1"/>
  <c r="J145" i="4" s="1"/>
  <c r="E143" i="4"/>
  <c r="I143" i="4" s="1"/>
  <c r="J143" i="4" s="1"/>
  <c r="E142" i="4"/>
  <c r="I142" i="4" s="1"/>
  <c r="J142" i="4" s="1"/>
  <c r="E138" i="4"/>
  <c r="I138" i="4" s="1"/>
  <c r="E135" i="4"/>
  <c r="I135" i="4" s="1"/>
  <c r="J135" i="4" s="1"/>
  <c r="E132" i="4"/>
  <c r="I132" i="4" s="1"/>
  <c r="J132" i="4" s="1"/>
  <c r="E130" i="4"/>
  <c r="I130" i="4" s="1"/>
  <c r="J130" i="4" s="1"/>
  <c r="E127" i="4"/>
  <c r="I127" i="4" s="1"/>
  <c r="E125" i="4"/>
  <c r="I125" i="4" s="1"/>
  <c r="E120" i="4"/>
  <c r="I120" i="4" s="1"/>
  <c r="J120" i="4" s="1"/>
  <c r="E117" i="4"/>
  <c r="I117" i="4" s="1"/>
  <c r="E104" i="4"/>
  <c r="I104" i="4" s="1"/>
  <c r="E101" i="4"/>
  <c r="I101" i="4" s="1"/>
  <c r="J101" i="4" s="1"/>
  <c r="E100" i="4"/>
  <c r="I100" i="4" s="1"/>
  <c r="J100" i="4" s="1"/>
  <c r="E97" i="4"/>
  <c r="I97" i="4" s="1"/>
  <c r="E83" i="4"/>
  <c r="I83" i="4" s="1"/>
  <c r="J83" i="4" s="1"/>
  <c r="E80" i="4"/>
  <c r="I80" i="4" s="1"/>
  <c r="E75" i="4"/>
  <c r="I75" i="4" s="1"/>
  <c r="J75" i="4" s="1"/>
  <c r="E73" i="4"/>
  <c r="I73" i="4" s="1"/>
  <c r="J73" i="4" s="1"/>
  <c r="E70" i="4"/>
  <c r="I70" i="4" s="1"/>
  <c r="J70" i="4" s="1"/>
  <c r="E67" i="4"/>
  <c r="I67" i="4" s="1"/>
  <c r="E66" i="4"/>
  <c r="I66" i="4" s="1"/>
  <c r="J66" i="4" s="1"/>
  <c r="E63" i="4"/>
  <c r="I63" i="4" s="1"/>
  <c r="J63" i="4" s="1"/>
  <c r="E62" i="4"/>
  <c r="I62" i="4" s="1"/>
  <c r="J62" i="4" s="1"/>
  <c r="E60" i="4"/>
  <c r="I60" i="4" s="1"/>
  <c r="J60" i="4" s="1"/>
  <c r="E56" i="4"/>
  <c r="I56" i="4" s="1"/>
  <c r="E54" i="4"/>
  <c r="I54" i="4" s="1"/>
  <c r="E53" i="4"/>
  <c r="I53" i="4" s="1"/>
  <c r="E52" i="4"/>
  <c r="I52" i="4" s="1"/>
  <c r="E50" i="4"/>
  <c r="I50" i="4" s="1"/>
  <c r="J50" i="4" s="1"/>
  <c r="E49" i="4"/>
  <c r="I49" i="4" s="1"/>
  <c r="J49" i="4" s="1"/>
  <c r="E46" i="4"/>
  <c r="I46" i="4" s="1"/>
  <c r="E45" i="4"/>
  <c r="I45" i="4" s="1"/>
  <c r="J45" i="4" s="1"/>
  <c r="E44" i="4"/>
  <c r="I44" i="4" s="1"/>
  <c r="J44" i="4" s="1"/>
  <c r="E41" i="4"/>
  <c r="I41" i="4" s="1"/>
  <c r="E40" i="4"/>
  <c r="I40" i="4" s="1"/>
  <c r="J40" i="4" s="1"/>
  <c r="E32" i="4"/>
  <c r="I32" i="4" s="1"/>
  <c r="E31" i="4"/>
  <c r="I31" i="4" s="1"/>
  <c r="J31" i="4" s="1"/>
  <c r="E29" i="4"/>
  <c r="I29" i="4" s="1"/>
  <c r="J29" i="4" s="1"/>
  <c r="E24" i="4"/>
  <c r="I24" i="4" s="1"/>
  <c r="J24" i="4" s="1"/>
  <c r="E22" i="4"/>
  <c r="I22" i="4" s="1"/>
  <c r="J22" i="4" s="1"/>
  <c r="E18" i="4"/>
  <c r="I18" i="4" s="1"/>
  <c r="E17" i="4"/>
  <c r="E14" i="4"/>
  <c r="E13" i="4"/>
  <c r="I13" i="4" s="1"/>
  <c r="J13" i="4" s="1"/>
  <c r="E9" i="4"/>
  <c r="I9" i="4" s="1"/>
  <c r="E8" i="4"/>
  <c r="I8" i="4" s="1"/>
  <c r="J8" i="4" s="1"/>
  <c r="E7" i="4"/>
  <c r="I7" i="4" s="1"/>
  <c r="J7" i="4" s="1"/>
  <c r="J43" i="6"/>
  <c r="J44" i="6"/>
  <c r="I40" i="6"/>
  <c r="J39" i="6"/>
  <c r="J8" i="6"/>
  <c r="J12" i="6"/>
  <c r="J17" i="6"/>
  <c r="J19" i="6"/>
  <c r="J25" i="6"/>
  <c r="J29" i="6"/>
  <c r="J33" i="6"/>
  <c r="J46" i="6"/>
  <c r="J48" i="6"/>
  <c r="J54" i="6"/>
  <c r="I51" i="6"/>
  <c r="J51" i="6" s="1"/>
  <c r="H11" i="6"/>
  <c r="J11" i="6" s="1"/>
  <c r="H18" i="6"/>
  <c r="J18" i="6" s="1"/>
  <c r="H27" i="6"/>
  <c r="J27" i="6" s="1"/>
  <c r="H31" i="6"/>
  <c r="J31" i="6" s="1"/>
  <c r="H32" i="6"/>
  <c r="J32" i="6" s="1"/>
  <c r="H35" i="6"/>
  <c r="J35" i="6" s="1"/>
  <c r="H37" i="6"/>
  <c r="J37" i="6" s="1"/>
  <c r="H38" i="6"/>
  <c r="J38" i="6" s="1"/>
  <c r="H41" i="6"/>
  <c r="H45" i="6"/>
  <c r="J45" i="6" s="1"/>
  <c r="D109" i="12"/>
  <c r="D55" i="12"/>
  <c r="I52" i="6" s="1"/>
  <c r="J41" i="6" l="1"/>
  <c r="H30" i="6"/>
  <c r="J30" i="6" s="1"/>
  <c r="E92" i="7"/>
  <c r="E89" i="7"/>
  <c r="E88" i="7"/>
  <c r="E87" i="7"/>
  <c r="E85" i="7"/>
  <c r="E82" i="7"/>
  <c r="E81" i="7"/>
  <c r="E80" i="7"/>
  <c r="E79" i="7"/>
  <c r="E76" i="7"/>
  <c r="E75" i="7"/>
  <c r="E74" i="7"/>
  <c r="E73" i="7"/>
  <c r="E72" i="7"/>
  <c r="E70" i="7"/>
  <c r="E69" i="7"/>
  <c r="E66" i="7"/>
  <c r="E65" i="7"/>
  <c r="E64" i="7"/>
  <c r="E61" i="7"/>
  <c r="E60" i="7"/>
  <c r="E59" i="7"/>
  <c r="E58" i="7"/>
  <c r="E57" i="7"/>
  <c r="E56" i="7"/>
  <c r="E55" i="7"/>
  <c r="E54" i="7"/>
  <c r="E52" i="7"/>
  <c r="E51" i="7"/>
  <c r="E49" i="7"/>
  <c r="E47" i="7"/>
  <c r="E44" i="7"/>
  <c r="E43" i="7"/>
  <c r="E40" i="7"/>
  <c r="E39" i="7"/>
  <c r="E38" i="7"/>
  <c r="E36" i="7"/>
  <c r="E34" i="7"/>
  <c r="E33" i="7"/>
  <c r="E31" i="7"/>
  <c r="E28" i="7"/>
  <c r="E27" i="7"/>
  <c r="E26" i="7"/>
  <c r="E25" i="7"/>
  <c r="E24" i="7"/>
  <c r="E22" i="7"/>
  <c r="E21" i="7"/>
  <c r="E19" i="7"/>
  <c r="E18" i="7"/>
  <c r="E16" i="7"/>
  <c r="E15" i="7"/>
  <c r="E12" i="7"/>
  <c r="E11" i="7"/>
  <c r="E9" i="7"/>
  <c r="E8" i="7"/>
  <c r="D50" i="7"/>
  <c r="E50" i="7" s="1"/>
  <c r="D48" i="7"/>
  <c r="E48" i="7" s="1"/>
  <c r="D30" i="7"/>
  <c r="D29" i="7" s="1"/>
  <c r="H23" i="6" s="1"/>
  <c r="H20" i="6" s="1"/>
  <c r="D32" i="7"/>
  <c r="D20" i="7"/>
  <c r="H16" i="6" s="1"/>
  <c r="J16" i="6" s="1"/>
  <c r="D17" i="7"/>
  <c r="H15" i="6" s="1"/>
  <c r="J15" i="6" s="1"/>
  <c r="D14" i="7"/>
  <c r="H14" i="6" s="1"/>
  <c r="J14" i="6" s="1"/>
  <c r="D7" i="7"/>
  <c r="D6" i="7" l="1"/>
  <c r="H10" i="6"/>
  <c r="D13" i="7"/>
  <c r="H13" i="6"/>
  <c r="J13" i="6" s="1"/>
  <c r="J10" i="6" l="1"/>
  <c r="H9" i="6"/>
  <c r="D785" i="4"/>
  <c r="D788" i="4"/>
  <c r="D793" i="4"/>
  <c r="D795" i="4"/>
  <c r="D796" i="4"/>
  <c r="J9" i="6" l="1"/>
  <c r="H7" i="6"/>
  <c r="J7" i="6" l="1"/>
  <c r="F127" i="12" l="1"/>
  <c r="G127" i="12" l="1"/>
  <c r="I127" i="12"/>
  <c r="F57" i="12"/>
  <c r="F1291" i="17" l="1"/>
  <c r="G1797" i="17"/>
  <c r="G1799" i="17"/>
  <c r="G1800" i="17"/>
  <c r="G1801" i="17"/>
  <c r="G1802" i="17"/>
  <c r="G1803" i="17"/>
  <c r="G1806" i="17"/>
  <c r="G1833" i="17"/>
  <c r="G1834" i="17"/>
  <c r="G1835" i="17"/>
  <c r="G1836" i="17"/>
  <c r="G1837" i="17"/>
  <c r="G1838" i="17"/>
  <c r="G1840" i="17"/>
  <c r="G1841" i="17"/>
  <c r="G1868" i="17"/>
  <c r="G1869" i="17"/>
  <c r="G1870" i="17"/>
  <c r="G1871" i="17"/>
  <c r="G1872" i="17"/>
  <c r="G1873" i="17"/>
  <c r="G1875" i="17"/>
  <c r="G1904" i="17"/>
  <c r="G1905" i="17"/>
  <c r="G1907" i="17"/>
  <c r="G1914" i="17"/>
  <c r="G1915" i="17"/>
  <c r="G1916" i="17"/>
  <c r="G1917" i="17"/>
  <c r="G1918" i="17"/>
  <c r="G1919" i="17"/>
  <c r="G1920" i="17"/>
  <c r="G1921" i="17"/>
  <c r="G1922" i="17"/>
  <c r="G1923" i="17"/>
  <c r="G1924" i="17"/>
  <c r="G1925" i="17"/>
  <c r="F7" i="12" l="1"/>
  <c r="G1706" i="17" l="1"/>
  <c r="G1697" i="17"/>
  <c r="G1696" i="17" s="1"/>
  <c r="G1690" i="17"/>
  <c r="G1689" i="17" s="1"/>
  <c r="G1685" i="17"/>
  <c r="G1899" i="17"/>
  <c r="G1655" i="17"/>
  <c r="G1652" i="17"/>
  <c r="G1643" i="17"/>
  <c r="G1642" i="17" s="1"/>
  <c r="G1637" i="17"/>
  <c r="G1636" i="17" s="1"/>
  <c r="G1632" i="17"/>
  <c r="G1630" i="17"/>
  <c r="G1898" i="17" s="1"/>
  <c r="G1599" i="17"/>
  <c r="G1583" i="17"/>
  <c r="G1578" i="17"/>
  <c r="G1566" i="17"/>
  <c r="G1565" i="17" s="1"/>
  <c r="G1561" i="17"/>
  <c r="G1559" i="17"/>
  <c r="G1897" i="17" s="1"/>
  <c r="G1523" i="17"/>
  <c r="G1511" i="17"/>
  <c r="G1509" i="17" s="1"/>
  <c r="G1499" i="17"/>
  <c r="G1497" i="17"/>
  <c r="G1896" i="17" s="1"/>
  <c r="G1464" i="17"/>
  <c r="G1460" i="17"/>
  <c r="G1451" i="17"/>
  <c r="G1446" i="17"/>
  <c r="G1433" i="17"/>
  <c r="G1432" i="17" s="1"/>
  <c r="G1428" i="17"/>
  <c r="G1426" i="17"/>
  <c r="G1895" i="17" s="1"/>
  <c r="G1395" i="17"/>
  <c r="G1392" i="17"/>
  <c r="G1383" i="17"/>
  <c r="G1382" i="17" s="1"/>
  <c r="G1377" i="17"/>
  <c r="G1376" i="17" s="1"/>
  <c r="G1374" i="17"/>
  <c r="G1894" i="17" s="1"/>
  <c r="G1322" i="17"/>
  <c r="G1318" i="17"/>
  <c r="G1298" i="17"/>
  <c r="G1297" i="17" s="1"/>
  <c r="G1293" i="17"/>
  <c r="G1893" i="17"/>
  <c r="G1260" i="17"/>
  <c r="G1247" i="17"/>
  <c r="G1246" i="17"/>
  <c r="G1241" i="17"/>
  <c r="G1240" i="17" s="1"/>
  <c r="G1236" i="17"/>
  <c r="G1234" i="17"/>
  <c r="G1892" i="17" s="1"/>
  <c r="G1188" i="17"/>
  <c r="G1890" i="17" s="1"/>
  <c r="G1182" i="17"/>
  <c r="G1187" i="17" s="1"/>
  <c r="G1571" i="17" l="1"/>
  <c r="G1553" i="17" s="1"/>
  <c r="G1558" i="17" s="1"/>
  <c r="G1444" i="17"/>
  <c r="G1184" i="17"/>
  <c r="G1857" i="17"/>
  <c r="G1284" i="17"/>
  <c r="G1290" i="17" s="1"/>
  <c r="G1677" i="17"/>
  <c r="G1682" i="17" s="1"/>
  <c r="G1492" i="17"/>
  <c r="G1496" i="17" s="1"/>
  <c r="G1625" i="17"/>
  <c r="G1629" i="17" s="1"/>
  <c r="G1369" i="17"/>
  <c r="G1373" i="17" s="1"/>
  <c r="G1420" i="17"/>
  <c r="G1425" i="17" s="1"/>
  <c r="G1229" i="17"/>
  <c r="G1233" i="17" s="1"/>
  <c r="F1304" i="17"/>
  <c r="H1304" i="17" s="1"/>
  <c r="L1304" i="17" s="1"/>
  <c r="M1304" i="17" s="1"/>
  <c r="G1422" i="17" l="1"/>
  <c r="G1862" i="17"/>
  <c r="G1627" i="17"/>
  <c r="G1865" i="17"/>
  <c r="G1679" i="17"/>
  <c r="G1866" i="17"/>
  <c r="G1555" i="17"/>
  <c r="G1864" i="17"/>
  <c r="G1231" i="17"/>
  <c r="G1859" i="17"/>
  <c r="G1371" i="17"/>
  <c r="G1861" i="17"/>
  <c r="G1494" i="17"/>
  <c r="G1863" i="17"/>
  <c r="G1286" i="17"/>
  <c r="G1860" i="17"/>
  <c r="D25" i="12" l="1"/>
  <c r="H50" i="6" s="1"/>
  <c r="D21" i="12"/>
  <c r="D45" i="7"/>
  <c r="E21" i="12" l="1"/>
  <c r="I21" i="12" s="1"/>
  <c r="J21" i="12" s="1"/>
  <c r="D6" i="12"/>
  <c r="D5" i="12" l="1"/>
  <c r="I50" i="6"/>
  <c r="I49" i="6" l="1"/>
  <c r="J50" i="6"/>
  <c r="G948" i="17"/>
  <c r="G939" i="17"/>
  <c r="G928" i="17"/>
  <c r="G927" i="17" s="1"/>
  <c r="G925" i="17"/>
  <c r="G1887" i="17" s="1"/>
  <c r="G303" i="17"/>
  <c r="G1883" i="17" s="1"/>
  <c r="G297" i="17"/>
  <c r="G302" i="17" s="1"/>
  <c r="G1848" i="17" s="1"/>
  <c r="G1882" i="17"/>
  <c r="D376" i="4"/>
  <c r="D372" i="4"/>
  <c r="D368" i="4"/>
  <c r="D362" i="4"/>
  <c r="D361" i="4" s="1"/>
  <c r="D356" i="4"/>
  <c r="D355" i="4" s="1"/>
  <c r="D352" i="4"/>
  <c r="D348" i="4"/>
  <c r="D344" i="4"/>
  <c r="D341" i="4"/>
  <c r="D336" i="4"/>
  <c r="D335" i="4" s="1"/>
  <c r="D332" i="4"/>
  <c r="D330" i="4"/>
  <c r="D328" i="4"/>
  <c r="D325" i="4"/>
  <c r="D323" i="4"/>
  <c r="D318" i="4"/>
  <c r="D316" i="4"/>
  <c r="D314" i="4"/>
  <c r="D308" i="4"/>
  <c r="D301" i="4"/>
  <c r="D300" i="4" s="1"/>
  <c r="D297" i="4"/>
  <c r="D294" i="4"/>
  <c r="D288" i="4"/>
  <c r="D282" i="4"/>
  <c r="D278" i="4"/>
  <c r="D43" i="4"/>
  <c r="D42" i="4" s="1"/>
  <c r="D39" i="4"/>
  <c r="E39" i="4" s="1"/>
  <c r="I39" i="4" s="1"/>
  <c r="J39" i="4" s="1"/>
  <c r="D37" i="4"/>
  <c r="D34" i="4"/>
  <c r="D30" i="4"/>
  <c r="D28" i="4"/>
  <c r="D23" i="4"/>
  <c r="D21" i="4"/>
  <c r="E21" i="4" s="1"/>
  <c r="I21" i="4" s="1"/>
  <c r="J21" i="4" s="1"/>
  <c r="D287" i="4" l="1"/>
  <c r="D347" i="4"/>
  <c r="D33" i="4"/>
  <c r="D277" i="4"/>
  <c r="D367" i="4"/>
  <c r="D792" i="4" s="1"/>
  <c r="G923" i="17"/>
  <c r="G1912" i="17" s="1"/>
  <c r="D307" i="4"/>
  <c r="D322" i="4"/>
  <c r="G932" i="17"/>
  <c r="G920" i="17" s="1"/>
  <c r="G299" i="17"/>
  <c r="D20" i="4"/>
  <c r="D19" i="4" s="1"/>
  <c r="D275" i="4" l="1"/>
  <c r="G620" i="17" s="1"/>
  <c r="G78" i="17"/>
  <c r="D787" i="4"/>
  <c r="G924" i="17"/>
  <c r="G1853" i="17" s="1"/>
  <c r="G1886" i="17"/>
  <c r="D791" i="4" l="1"/>
  <c r="G922" i="17"/>
  <c r="H78" i="17"/>
  <c r="L78" i="17" s="1"/>
  <c r="M78" i="17" s="1"/>
  <c r="G80" i="17"/>
  <c r="G1906" i="17"/>
  <c r="H620" i="17"/>
  <c r="L620" i="17" s="1"/>
  <c r="M620" i="17" s="1"/>
  <c r="G624" i="17"/>
  <c r="H624" i="17" s="1"/>
  <c r="L624" i="17" s="1"/>
  <c r="M624" i="17" s="1"/>
  <c r="G1911" i="17"/>
  <c r="G619" i="17" l="1"/>
  <c r="H619" i="17" s="1"/>
  <c r="L619" i="17" s="1"/>
  <c r="M619" i="17" s="1"/>
  <c r="G77" i="17"/>
  <c r="H77" i="17" s="1"/>
  <c r="L77" i="17" s="1"/>
  <c r="M77" i="17" s="1"/>
  <c r="H80" i="17"/>
  <c r="L80" i="17" s="1"/>
  <c r="M80" i="17" s="1"/>
  <c r="G1847" i="17"/>
  <c r="D269" i="4"/>
  <c r="D265" i="4"/>
  <c r="C261" i="4"/>
  <c r="C260" i="4" s="1"/>
  <c r="D261" i="4"/>
  <c r="D260" i="4" s="1"/>
  <c r="C250" i="4"/>
  <c r="D250" i="4"/>
  <c r="D249" i="4" s="1"/>
  <c r="D243" i="4"/>
  <c r="D239" i="4"/>
  <c r="D235" i="4"/>
  <c r="D228" i="4"/>
  <c r="D227" i="4" s="1"/>
  <c r="D211" i="4"/>
  <c r="D208" i="4"/>
  <c r="D204" i="4"/>
  <c r="D199" i="4"/>
  <c r="D194" i="4"/>
  <c r="C181" i="4"/>
  <c r="D181" i="4"/>
  <c r="C172" i="4"/>
  <c r="D172" i="4"/>
  <c r="D169" i="4"/>
  <c r="C159" i="4"/>
  <c r="C158" i="4" s="1"/>
  <c r="D159" i="4"/>
  <c r="D158" i="4" s="1"/>
  <c r="D154" i="4"/>
  <c r="D150" i="4"/>
  <c r="C129" i="4"/>
  <c r="D129" i="4"/>
  <c r="D133" i="4"/>
  <c r="D136" i="4"/>
  <c r="D119" i="4"/>
  <c r="D122" i="4"/>
  <c r="D114" i="4"/>
  <c r="D99" i="4"/>
  <c r="D98" i="4" s="1"/>
  <c r="D94" i="4"/>
  <c r="D82" i="4"/>
  <c r="D69" i="4"/>
  <c r="D77" i="4"/>
  <c r="D64" i="4"/>
  <c r="D61" i="4"/>
  <c r="D58" i="4"/>
  <c r="G577" i="17"/>
  <c r="G569" i="17" s="1"/>
  <c r="G549" i="17"/>
  <c r="G519" i="17"/>
  <c r="G508" i="17"/>
  <c r="G507" i="17"/>
  <c r="L499" i="17"/>
  <c r="M499" i="17" s="1"/>
  <c r="L492" i="17"/>
  <c r="M492" i="17" s="1"/>
  <c r="L491" i="17"/>
  <c r="M491" i="17" s="1"/>
  <c r="G471" i="17"/>
  <c r="G461" i="17" s="1"/>
  <c r="G457" i="17"/>
  <c r="D128" i="4" l="1"/>
  <c r="D165" i="4"/>
  <c r="D68" i="4"/>
  <c r="D118" i="4"/>
  <c r="G1852" i="17"/>
  <c r="G1884" i="17"/>
  <c r="D238" i="4"/>
  <c r="D264" i="4"/>
  <c r="D203" i="4"/>
  <c r="D193" i="4"/>
  <c r="D176" i="4"/>
  <c r="D175" i="4" s="1"/>
  <c r="D164" i="4"/>
  <c r="D149" i="4"/>
  <c r="D106" i="4"/>
  <c r="D105" i="4" s="1"/>
  <c r="D81" i="4"/>
  <c r="D57" i="4"/>
  <c r="G514" i="17"/>
  <c r="G484" i="17"/>
  <c r="G455" i="17" s="1"/>
  <c r="G483" i="17"/>
  <c r="G482" i="17" s="1"/>
  <c r="D55" i="4" l="1"/>
  <c r="G318" i="17"/>
  <c r="G322" i="17" s="1"/>
  <c r="G317" i="17" s="1"/>
  <c r="D789" i="4"/>
  <c r="G1885" i="17"/>
  <c r="D126" i="4"/>
  <c r="G448" i="17"/>
  <c r="G451" i="17" l="1"/>
  <c r="G1909" i="17" s="1"/>
  <c r="D790" i="4"/>
  <c r="G1849" i="17"/>
  <c r="G1908" i="17"/>
  <c r="G1926" i="17" s="1"/>
  <c r="G454" i="17"/>
  <c r="D779" i="4"/>
  <c r="D776" i="4"/>
  <c r="D770" i="4"/>
  <c r="D767" i="4"/>
  <c r="D763" i="4"/>
  <c r="D760" i="4"/>
  <c r="D755" i="4"/>
  <c r="D754" i="4" s="1"/>
  <c r="D750" i="4"/>
  <c r="D746" i="4"/>
  <c r="D743" i="4"/>
  <c r="D740" i="4"/>
  <c r="D730" i="4"/>
  <c r="D728" i="4"/>
  <c r="D722" i="4"/>
  <c r="D717" i="4"/>
  <c r="D715" i="4"/>
  <c r="D710" i="4"/>
  <c r="D703" i="4"/>
  <c r="D700" i="4"/>
  <c r="D696" i="4"/>
  <c r="D690" i="4"/>
  <c r="D686" i="4"/>
  <c r="D681" i="4"/>
  <c r="D676" i="4"/>
  <c r="D670" i="4"/>
  <c r="D668" i="4"/>
  <c r="D665" i="4"/>
  <c r="D662" i="4"/>
  <c r="D660" i="4"/>
  <c r="D658" i="4"/>
  <c r="D647" i="4"/>
  <c r="D646" i="4" s="1"/>
  <c r="D643" i="4"/>
  <c r="E643" i="4" s="1"/>
  <c r="I643" i="4" s="1"/>
  <c r="J643" i="4" s="1"/>
  <c r="D640" i="4"/>
  <c r="D637" i="4"/>
  <c r="D631" i="4"/>
  <c r="D626" i="4"/>
  <c r="D623" i="4"/>
  <c r="D620" i="4"/>
  <c r="D617" i="4"/>
  <c r="D606" i="4"/>
  <c r="D611" i="4"/>
  <c r="B606" i="4"/>
  <c r="D616" i="4" l="1"/>
  <c r="D630" i="4"/>
  <c r="D614" i="4" s="1"/>
  <c r="D685" i="4"/>
  <c r="D695" i="4"/>
  <c r="D709" i="4"/>
  <c r="D721" i="4"/>
  <c r="D605" i="4"/>
  <c r="D759" i="4"/>
  <c r="D775" i="4"/>
  <c r="G450" i="17"/>
  <c r="G1850" i="17"/>
  <c r="D739" i="4"/>
  <c r="D675" i="4"/>
  <c r="D657" i="4"/>
  <c r="D766" i="4"/>
  <c r="D655" i="4"/>
  <c r="D802" i="4" s="1"/>
  <c r="D601" i="4"/>
  <c r="D598" i="4"/>
  <c r="D592" i="4"/>
  <c r="D591" i="4"/>
  <c r="D586" i="4"/>
  <c r="D585" i="4"/>
  <c r="D581" i="4"/>
  <c r="D576" i="4"/>
  <c r="D571" i="4"/>
  <c r="D569" i="4"/>
  <c r="D568" i="4" s="1"/>
  <c r="D564" i="4"/>
  <c r="D561" i="4"/>
  <c r="D557" i="4"/>
  <c r="D554" i="4"/>
  <c r="D546" i="4"/>
  <c r="D543" i="4"/>
  <c r="D538" i="4"/>
  <c r="D535" i="4"/>
  <c r="D531" i="4"/>
  <c r="D528" i="4"/>
  <c r="D520" i="4"/>
  <c r="D515" i="4"/>
  <c r="D514" i="4" s="1"/>
  <c r="D510" i="4"/>
  <c r="D507" i="4"/>
  <c r="D499" i="4"/>
  <c r="D498" i="4" s="1"/>
  <c r="D494" i="4"/>
  <c r="D491" i="4"/>
  <c r="D487" i="4"/>
  <c r="D484" i="4"/>
  <c r="D474" i="4"/>
  <c r="D473" i="4" s="1"/>
  <c r="D470" i="4"/>
  <c r="D468" i="4"/>
  <c r="D467" i="4" s="1"/>
  <c r="D463" i="4"/>
  <c r="D460" i="4"/>
  <c r="D457" i="4"/>
  <c r="D454" i="4"/>
  <c r="D83" i="7"/>
  <c r="D86" i="7"/>
  <c r="H42" i="6" s="1"/>
  <c r="D77" i="7"/>
  <c r="H36" i="6" s="1"/>
  <c r="H34" i="6" s="1"/>
  <c r="D53" i="7"/>
  <c r="D42" i="7"/>
  <c r="D553" i="4" l="1"/>
  <c r="D453" i="4"/>
  <c r="D451" i="4" s="1"/>
  <c r="D797" i="4" s="1"/>
  <c r="D483" i="4"/>
  <c r="D707" i="4"/>
  <c r="D803" i="4" s="1"/>
  <c r="D527" i="4"/>
  <c r="D542" i="4"/>
  <c r="D737" i="4"/>
  <c r="D804" i="4" s="1"/>
  <c r="J42" i="6"/>
  <c r="H40" i="6"/>
  <c r="J40" i="6" s="1"/>
  <c r="D801" i="4"/>
  <c r="D67" i="7"/>
  <c r="D41" i="7"/>
  <c r="H28" i="6" s="1"/>
  <c r="H26" i="6" s="1"/>
  <c r="H47" i="6" s="1"/>
  <c r="D597" i="4"/>
  <c r="D506" i="4"/>
  <c r="D481" i="4" s="1"/>
  <c r="D798" i="4" s="1"/>
  <c r="D575" i="4"/>
  <c r="D551" i="4" s="1"/>
  <c r="D800" i="4" s="1"/>
  <c r="G1209" i="17"/>
  <c r="G1891" i="17" s="1"/>
  <c r="G1204" i="17"/>
  <c r="G1208" i="17" s="1"/>
  <c r="G1017" i="17"/>
  <c r="G999" i="17" s="1"/>
  <c r="G972" i="17" s="1"/>
  <c r="G977" i="17" s="1"/>
  <c r="G990" i="17"/>
  <c r="G978" i="17"/>
  <c r="G1888" i="17" s="1"/>
  <c r="G1127" i="17"/>
  <c r="G1125" i="17"/>
  <c r="H1125" i="17" s="1"/>
  <c r="L1125" i="17" s="1"/>
  <c r="M1125" i="17" s="1"/>
  <c r="G1124" i="17"/>
  <c r="H1124" i="17" s="1"/>
  <c r="L1124" i="17" s="1"/>
  <c r="M1124" i="17" s="1"/>
  <c r="G1114" i="17"/>
  <c r="G1112" i="17"/>
  <c r="G1106" i="17"/>
  <c r="G1104" i="17"/>
  <c r="G1102" i="17"/>
  <c r="G1096" i="17"/>
  <c r="H1096" i="17" s="1"/>
  <c r="L1096" i="17" s="1"/>
  <c r="M1096" i="17" s="1"/>
  <c r="G1095" i="17"/>
  <c r="H1095" i="17" s="1"/>
  <c r="L1095" i="17" s="1"/>
  <c r="M1095" i="17" s="1"/>
  <c r="G1093" i="17"/>
  <c r="G1087" i="17"/>
  <c r="H1087" i="17" s="1"/>
  <c r="L1087" i="17" s="1"/>
  <c r="M1087" i="17" s="1"/>
  <c r="G1073" i="17"/>
  <c r="G12" i="17"/>
  <c r="G1880" i="17" s="1"/>
  <c r="G7" i="17"/>
  <c r="D117" i="12"/>
  <c r="D112" i="12" s="1"/>
  <c r="D107" i="12" s="1"/>
  <c r="D432" i="4"/>
  <c r="D427" i="4"/>
  <c r="D422" i="4"/>
  <c r="D418" i="4"/>
  <c r="D413" i="4"/>
  <c r="D411" i="4"/>
  <c r="D408" i="4"/>
  <c r="D403" i="4"/>
  <c r="D398" i="4"/>
  <c r="D392" i="4"/>
  <c r="D390" i="4"/>
  <c r="E390" i="4" s="1"/>
  <c r="D12" i="4"/>
  <c r="D11" i="4" s="1"/>
  <c r="G1081" i="17" l="1"/>
  <c r="G1080" i="17" s="1"/>
  <c r="H1093" i="17"/>
  <c r="L1093" i="17" s="1"/>
  <c r="M1093" i="17" s="1"/>
  <c r="G1101" i="17"/>
  <c r="H1104" i="17"/>
  <c r="L1104" i="17" s="1"/>
  <c r="M1104" i="17" s="1"/>
  <c r="G1111" i="17"/>
  <c r="H1111" i="17" s="1"/>
  <c r="L1111" i="17" s="1"/>
  <c r="M1111" i="17" s="1"/>
  <c r="H1114" i="17"/>
  <c r="L1114" i="17" s="1"/>
  <c r="M1114" i="17" s="1"/>
  <c r="D402" i="4"/>
  <c r="D426" i="4"/>
  <c r="D10" i="4"/>
  <c r="D786" i="4" s="1"/>
  <c r="D389" i="4"/>
  <c r="D417" i="4"/>
  <c r="D525" i="4"/>
  <c r="D799" i="4" s="1"/>
  <c r="D54" i="12"/>
  <c r="D138" i="12" s="1"/>
  <c r="H52" i="6"/>
  <c r="G974" i="17"/>
  <c r="G1855" i="17"/>
  <c r="G1206" i="17"/>
  <c r="G1858" i="17"/>
  <c r="G11" i="17"/>
  <c r="D35" i="7"/>
  <c r="D93" i="7" s="1"/>
  <c r="G1071" i="17"/>
  <c r="G1889" i="17" s="1"/>
  <c r="G1881" i="17"/>
  <c r="G1122" i="17"/>
  <c r="G1100" i="17" l="1"/>
  <c r="D387" i="4"/>
  <c r="D794" i="4" s="1"/>
  <c r="D805" i="4" s="1"/>
  <c r="D782" i="4"/>
  <c r="J52" i="6"/>
  <c r="H49" i="6"/>
  <c r="G1900" i="17"/>
  <c r="G9" i="17"/>
  <c r="G1845" i="17"/>
  <c r="G1846" i="17"/>
  <c r="G1064" i="17"/>
  <c r="F70" i="12"/>
  <c r="J49" i="6" l="1"/>
  <c r="H55" i="6"/>
  <c r="G1070" i="17"/>
  <c r="G1760" i="17"/>
  <c r="G1066" i="17" l="1"/>
  <c r="G1856" i="17"/>
  <c r="G1867" i="17" s="1"/>
  <c r="G1876" i="17" s="1"/>
  <c r="G30" i="13" l="1"/>
  <c r="H30" i="13" s="1"/>
  <c r="G36" i="13" l="1"/>
  <c r="H36" i="13" s="1"/>
  <c r="F5" i="11"/>
  <c r="G40" i="13"/>
  <c r="H40" i="13" s="1"/>
  <c r="G13" i="13" l="1"/>
  <c r="H13" i="13" s="1"/>
  <c r="G15" i="13"/>
  <c r="H15" i="13" s="1"/>
  <c r="F34" i="13" l="1"/>
  <c r="G37" i="13"/>
  <c r="H37" i="13" s="1"/>
  <c r="G16" i="5"/>
  <c r="H16" i="5" s="1"/>
  <c r="G14" i="13"/>
  <c r="H14" i="13" s="1"/>
  <c r="G17" i="5" l="1"/>
  <c r="H17" i="5" s="1"/>
  <c r="G8" i="13" l="1"/>
  <c r="H8" i="13" s="1"/>
  <c r="G22" i="5" l="1"/>
  <c r="H22" i="5" s="1"/>
  <c r="G20" i="5"/>
  <c r="H20" i="5" s="1"/>
  <c r="G10" i="5" l="1"/>
  <c r="H10" i="5" s="1"/>
  <c r="G19" i="5" l="1"/>
  <c r="H19" i="5" s="1"/>
  <c r="G21" i="13"/>
  <c r="H21" i="13" s="1"/>
  <c r="G14" i="5"/>
  <c r="H14" i="5" s="1"/>
  <c r="G9" i="5"/>
  <c r="H9" i="5" s="1"/>
  <c r="G13" i="5"/>
  <c r="H13" i="5" s="1"/>
  <c r="G18" i="5"/>
  <c r="H18" i="5" s="1"/>
  <c r="G29" i="13"/>
  <c r="H29" i="13" s="1"/>
  <c r="G6" i="13" l="1"/>
  <c r="H6" i="13" s="1"/>
  <c r="G8" i="5" l="1"/>
  <c r="H8" i="5" s="1"/>
  <c r="F948" i="17"/>
  <c r="D948" i="17" l="1"/>
  <c r="J948" i="17" s="1"/>
  <c r="K948" i="17" s="1"/>
  <c r="J952" i="17"/>
  <c r="K952" i="17" s="1"/>
  <c r="E948" i="17"/>
  <c r="H948" i="17" s="1"/>
  <c r="L948" i="17" s="1"/>
  <c r="M948" i="17" s="1"/>
  <c r="L952" i="17"/>
  <c r="M952" i="17" s="1"/>
  <c r="E40" i="13" l="1"/>
  <c r="I40" i="13" s="1"/>
  <c r="J40" i="13" s="1"/>
  <c r="E38" i="13"/>
  <c r="I38" i="13" s="1"/>
  <c r="E37" i="13"/>
  <c r="I37" i="13" s="1"/>
  <c r="J37" i="13" s="1"/>
  <c r="E36" i="13"/>
  <c r="I36" i="13" s="1"/>
  <c r="J36" i="13" s="1"/>
  <c r="E35" i="13"/>
  <c r="I35" i="13" s="1"/>
  <c r="E33" i="13"/>
  <c r="I33" i="13" s="1"/>
  <c r="E31" i="13"/>
  <c r="I31" i="13" s="1"/>
  <c r="E30" i="13"/>
  <c r="I30" i="13" s="1"/>
  <c r="J30" i="13" s="1"/>
  <c r="E29" i="13"/>
  <c r="I29" i="13" s="1"/>
  <c r="J29" i="13" s="1"/>
  <c r="E28" i="13"/>
  <c r="I28" i="13" s="1"/>
  <c r="J28" i="13" s="1"/>
  <c r="E27" i="13"/>
  <c r="I27" i="13" s="1"/>
  <c r="E26" i="13"/>
  <c r="I26" i="13" s="1"/>
  <c r="E25" i="13"/>
  <c r="I25" i="13" s="1"/>
  <c r="E24" i="13"/>
  <c r="I24" i="13" s="1"/>
  <c r="J24" i="13" s="1"/>
  <c r="E23" i="13"/>
  <c r="E22" i="13"/>
  <c r="I22" i="13" s="1"/>
  <c r="J22" i="13" s="1"/>
  <c r="E21" i="13"/>
  <c r="I21" i="13" s="1"/>
  <c r="J21" i="13" s="1"/>
  <c r="E20" i="13"/>
  <c r="I20" i="13" s="1"/>
  <c r="E18" i="13"/>
  <c r="I18" i="13" s="1"/>
  <c r="E16" i="13"/>
  <c r="I16" i="13" s="1"/>
  <c r="E15" i="13"/>
  <c r="I15" i="13" s="1"/>
  <c r="J15" i="13" s="1"/>
  <c r="E14" i="13"/>
  <c r="I14" i="13" s="1"/>
  <c r="J14" i="13" s="1"/>
  <c r="E13" i="13"/>
  <c r="I13" i="13" s="1"/>
  <c r="J13" i="13" s="1"/>
  <c r="E10" i="13"/>
  <c r="I10" i="13" s="1"/>
  <c r="E9" i="13"/>
  <c r="E8" i="13"/>
  <c r="I8" i="13" s="1"/>
  <c r="J8" i="13" s="1"/>
  <c r="E7" i="13"/>
  <c r="E6" i="13"/>
  <c r="I6" i="13" s="1"/>
  <c r="J6" i="13" s="1"/>
  <c r="E5" i="13"/>
  <c r="I5" i="13" s="1"/>
  <c r="D19" i="13"/>
  <c r="D39" i="13"/>
  <c r="F63" i="7" l="1"/>
  <c r="F62" i="7" l="1"/>
  <c r="E1917" i="17"/>
  <c r="F1917" i="17"/>
  <c r="D1917" i="17"/>
  <c r="J1917" i="17" s="1"/>
  <c r="H1917" i="17" l="1"/>
  <c r="L1917" i="17" s="1"/>
  <c r="F611" i="4" l="1"/>
  <c r="F606" i="4"/>
  <c r="B611" i="4"/>
  <c r="E611" i="4" s="1"/>
  <c r="F605" i="4" l="1"/>
  <c r="G606" i="4"/>
  <c r="H606" i="4" s="1"/>
  <c r="I611" i="4"/>
  <c r="J611" i="4" s="1"/>
  <c r="G611" i="4"/>
  <c r="B605" i="4"/>
  <c r="G605" i="4" l="1"/>
  <c r="H605" i="4" s="1"/>
  <c r="F444" i="4" l="1"/>
  <c r="F448" i="4"/>
  <c r="I448" i="4" l="1"/>
  <c r="G448" i="4"/>
  <c r="I444" i="4"/>
  <c r="G444" i="4"/>
  <c r="F442" i="4"/>
  <c r="I442" i="4" l="1"/>
  <c r="G442" i="4"/>
  <c r="F796" i="4"/>
  <c r="I796" i="4" l="1"/>
  <c r="C796" i="4" l="1"/>
  <c r="B796" i="4"/>
  <c r="G796" i="4" s="1"/>
  <c r="F68" i="7" l="1"/>
  <c r="F71" i="7"/>
  <c r="G71" i="7" s="1"/>
  <c r="F8" i="11" l="1"/>
  <c r="G72" i="5" s="1"/>
  <c r="H72" i="5" s="1"/>
  <c r="G71" i="5"/>
  <c r="H71" i="5" s="1"/>
  <c r="F14" i="11"/>
  <c r="F60" i="5" l="1"/>
  <c r="G62" i="5"/>
  <c r="H62" i="5" s="1"/>
  <c r="F86" i="7"/>
  <c r="G86" i="7" s="1"/>
  <c r="H86" i="7" s="1"/>
  <c r="F6" i="12"/>
  <c r="F103" i="12"/>
  <c r="F114" i="12" l="1"/>
  <c r="F133" i="12"/>
  <c r="F27" i="12"/>
  <c r="F25" i="12" l="1"/>
  <c r="G133" i="12"/>
  <c r="I133" i="12"/>
  <c r="F23" i="7" l="1"/>
  <c r="F109" i="12" l="1"/>
  <c r="F51" i="12" l="1"/>
  <c r="F779" i="4"/>
  <c r="F776" i="4"/>
  <c r="F770" i="4"/>
  <c r="F767" i="4"/>
  <c r="F763" i="4"/>
  <c r="F760" i="4"/>
  <c r="F755" i="4"/>
  <c r="F750" i="4"/>
  <c r="F746" i="4"/>
  <c r="F743" i="4"/>
  <c r="F740" i="4"/>
  <c r="F730" i="4"/>
  <c r="F728" i="4"/>
  <c r="F722" i="4"/>
  <c r="F717" i="4"/>
  <c r="F715" i="4"/>
  <c r="F710" i="4"/>
  <c r="F703" i="4"/>
  <c r="F700" i="4"/>
  <c r="F696" i="4"/>
  <c r="F690" i="4"/>
  <c r="F686" i="4"/>
  <c r="F681" i="4"/>
  <c r="F676" i="4"/>
  <c r="F670" i="4"/>
  <c r="F668" i="4"/>
  <c r="F665" i="4"/>
  <c r="F662" i="4"/>
  <c r="F660" i="4"/>
  <c r="F658" i="4"/>
  <c r="F647" i="4"/>
  <c r="F640" i="4"/>
  <c r="F637" i="4"/>
  <c r="F631" i="4"/>
  <c r="F626" i="4"/>
  <c r="F623" i="4"/>
  <c r="F620" i="4"/>
  <c r="F617" i="4"/>
  <c r="F601" i="4"/>
  <c r="F598" i="4"/>
  <c r="F592" i="4"/>
  <c r="F586" i="4"/>
  <c r="F581" i="4"/>
  <c r="F576" i="4"/>
  <c r="F571" i="4"/>
  <c r="F569" i="4"/>
  <c r="F564" i="4"/>
  <c r="F561" i="4"/>
  <c r="F557" i="4"/>
  <c r="F554" i="4"/>
  <c r="F546" i="4"/>
  <c r="F543" i="4"/>
  <c r="F538" i="4"/>
  <c r="F535" i="4"/>
  <c r="F531" i="4"/>
  <c r="F528" i="4"/>
  <c r="F520" i="4"/>
  <c r="F515" i="4"/>
  <c r="F510" i="4"/>
  <c r="F507" i="4"/>
  <c r="F499" i="4"/>
  <c r="F494" i="4"/>
  <c r="F491" i="4"/>
  <c r="F487" i="4"/>
  <c r="F484" i="4"/>
  <c r="F474" i="4"/>
  <c r="F470" i="4"/>
  <c r="F468" i="4"/>
  <c r="F463" i="4"/>
  <c r="F460" i="4"/>
  <c r="F457" i="4"/>
  <c r="F454" i="4"/>
  <c r="F473" i="4" l="1"/>
  <c r="F575" i="4"/>
  <c r="F506" i="4"/>
  <c r="F498" i="4"/>
  <c r="F766" i="4"/>
  <c r="F646" i="4"/>
  <c r="F739" i="4"/>
  <c r="F695" i="4"/>
  <c r="F630" i="4"/>
  <c r="F553" i="4"/>
  <c r="F657" i="4"/>
  <c r="F514" i="4"/>
  <c r="F775" i="4"/>
  <c r="F754" i="4"/>
  <c r="F759" i="4"/>
  <c r="F709" i="4"/>
  <c r="F721" i="4"/>
  <c r="F685" i="4"/>
  <c r="F675" i="4"/>
  <c r="F616" i="4"/>
  <c r="F591" i="4"/>
  <c r="F568" i="4"/>
  <c r="F585" i="4"/>
  <c r="F597" i="4"/>
  <c r="F527" i="4"/>
  <c r="F542" i="4"/>
  <c r="F483" i="4"/>
  <c r="F453" i="4"/>
  <c r="F467" i="4"/>
  <c r="F737" i="4" l="1"/>
  <c r="F707" i="4"/>
  <c r="F655" i="4"/>
  <c r="F614" i="4"/>
  <c r="F551" i="4"/>
  <c r="F525" i="4"/>
  <c r="F481" i="4"/>
  <c r="F451" i="4"/>
  <c r="F798" i="4" l="1"/>
  <c r="F800" i="4"/>
  <c r="F802" i="4"/>
  <c r="F804" i="4"/>
  <c r="F797" i="4"/>
  <c r="F799" i="4"/>
  <c r="F801" i="4"/>
  <c r="F803" i="4"/>
  <c r="F272" i="4" l="1"/>
  <c r="F269" i="4"/>
  <c r="F265" i="4"/>
  <c r="F261" i="4"/>
  <c r="F257" i="4"/>
  <c r="F254" i="4"/>
  <c r="F250" i="4"/>
  <c r="F235" i="4"/>
  <c r="F232" i="4"/>
  <c r="F228" i="4"/>
  <c r="F211" i="4"/>
  <c r="F208" i="4"/>
  <c r="F204" i="4"/>
  <c r="F199" i="4"/>
  <c r="F194" i="4"/>
  <c r="F190" i="4"/>
  <c r="F185" i="4"/>
  <c r="F181" i="4"/>
  <c r="F169" i="4"/>
  <c r="F159" i="4"/>
  <c r="F154" i="4"/>
  <c r="F150" i="4"/>
  <c r="F146" i="4"/>
  <c r="F144" i="4"/>
  <c r="F140" i="4"/>
  <c r="F133" i="4"/>
  <c r="F131" i="4"/>
  <c r="F129" i="4"/>
  <c r="F78" i="7"/>
  <c r="F260" i="4" l="1"/>
  <c r="G146" i="4"/>
  <c r="G169" i="4"/>
  <c r="F215" i="4"/>
  <c r="F176" i="4"/>
  <c r="F193" i="4"/>
  <c r="F136" i="4"/>
  <c r="F264" i="4"/>
  <c r="F219" i="4"/>
  <c r="F158" i="4"/>
  <c r="F222" i="4"/>
  <c r="F172" i="4"/>
  <c r="F224" i="4"/>
  <c r="F249" i="4"/>
  <c r="F165" i="4"/>
  <c r="F239" i="4"/>
  <c r="F184" i="4"/>
  <c r="F227" i="4"/>
  <c r="F243" i="4"/>
  <c r="F149" i="4"/>
  <c r="F203" i="4"/>
  <c r="F139" i="4"/>
  <c r="F238" i="4" l="1"/>
  <c r="F175" i="4"/>
  <c r="F164" i="4"/>
  <c r="F214" i="4"/>
  <c r="F128" i="4"/>
  <c r="F117" i="12"/>
  <c r="F98" i="12"/>
  <c r="F48" i="12"/>
  <c r="F42" i="12" l="1"/>
  <c r="G48" i="12"/>
  <c r="I48" i="12"/>
  <c r="F112" i="12"/>
  <c r="F126" i="4"/>
  <c r="F107" i="12" l="1"/>
  <c r="F41" i="12"/>
  <c r="F790" i="4"/>
  <c r="F432" i="4"/>
  <c r="F429" i="4"/>
  <c r="F422" i="4"/>
  <c r="F418" i="4"/>
  <c r="F413" i="4"/>
  <c r="F411" i="4"/>
  <c r="F408" i="4"/>
  <c r="F403" i="4"/>
  <c r="F398" i="4"/>
  <c r="F396" i="4"/>
  <c r="F392" i="4"/>
  <c r="F390" i="4"/>
  <c r="F376" i="4"/>
  <c r="F372" i="4"/>
  <c r="F368" i="4"/>
  <c r="F84" i="7"/>
  <c r="F32" i="7"/>
  <c r="F30" i="7"/>
  <c r="F10" i="7"/>
  <c r="I390" i="4" l="1"/>
  <c r="J390" i="4" s="1"/>
  <c r="G390" i="4"/>
  <c r="H390" i="4" s="1"/>
  <c r="F83" i="7"/>
  <c r="F29" i="7"/>
  <c r="F427" i="4"/>
  <c r="F389" i="4"/>
  <c r="F367" i="4"/>
  <c r="F417" i="4"/>
  <c r="F402" i="4"/>
  <c r="F792" i="4" l="1"/>
  <c r="F426" i="4"/>
  <c r="F387" i="4"/>
  <c r="C34" i="13"/>
  <c r="B34" i="13"/>
  <c r="G34" i="13" s="1"/>
  <c r="H34" i="13" s="1"/>
  <c r="C19" i="13"/>
  <c r="B19" i="13"/>
  <c r="C11" i="13"/>
  <c r="B11" i="13"/>
  <c r="C4" i="13"/>
  <c r="C17" i="13" s="1"/>
  <c r="C32" i="13" s="1"/>
  <c r="B4" i="13"/>
  <c r="F794" i="4" l="1"/>
  <c r="E19" i="13"/>
  <c r="E34" i="13"/>
  <c r="I34" i="13" s="1"/>
  <c r="J34" i="13" s="1"/>
  <c r="B49" i="13"/>
  <c r="E4" i="13"/>
  <c r="B43" i="13"/>
  <c r="E11" i="13"/>
  <c r="C39" i="13"/>
  <c r="B42" i="13"/>
  <c r="B17" i="13"/>
  <c r="E17" i="13" s="1"/>
  <c r="B32" i="13" l="1"/>
  <c r="E32" i="13" s="1"/>
  <c r="B39" i="13" l="1"/>
  <c r="E39" i="13" s="1"/>
  <c r="F64" i="5" l="1"/>
  <c r="F75" i="5"/>
  <c r="G75" i="5" s="1"/>
  <c r="H75" i="5" s="1"/>
  <c r="F56" i="5"/>
  <c r="E82" i="5"/>
  <c r="I82" i="5" s="1"/>
  <c r="I81" i="5"/>
  <c r="I79" i="5"/>
  <c r="I78" i="5"/>
  <c r="I77" i="5"/>
  <c r="J77" i="5" s="1"/>
  <c r="I76" i="5"/>
  <c r="J76" i="5" s="1"/>
  <c r="C75" i="5"/>
  <c r="B75" i="5"/>
  <c r="I74" i="5"/>
  <c r="I72" i="5"/>
  <c r="J72" i="5" s="1"/>
  <c r="I71" i="5"/>
  <c r="J71" i="5" s="1"/>
  <c r="C70" i="5"/>
  <c r="B70" i="5"/>
  <c r="E70" i="5" s="1"/>
  <c r="I69" i="5"/>
  <c r="I68" i="5"/>
  <c r="I67" i="5"/>
  <c r="I66" i="5"/>
  <c r="J66" i="5" s="1"/>
  <c r="I65" i="5"/>
  <c r="J65" i="5" s="1"/>
  <c r="C64" i="5"/>
  <c r="B64" i="5"/>
  <c r="I63" i="5"/>
  <c r="I62" i="5"/>
  <c r="J62" i="5" s="1"/>
  <c r="I61" i="5"/>
  <c r="J61" i="5" s="1"/>
  <c r="C60" i="5"/>
  <c r="B60" i="5"/>
  <c r="I59" i="5"/>
  <c r="I58" i="5"/>
  <c r="I57" i="5"/>
  <c r="I54" i="5"/>
  <c r="J54" i="5" s="1"/>
  <c r="I53" i="5"/>
  <c r="C56" i="5"/>
  <c r="I51" i="5"/>
  <c r="I50" i="5"/>
  <c r="C48" i="5"/>
  <c r="B48" i="5"/>
  <c r="B47" i="5"/>
  <c r="I45" i="5"/>
  <c r="I44" i="5"/>
  <c r="I43" i="5"/>
  <c r="I42" i="5"/>
  <c r="I41" i="5"/>
  <c r="I40" i="5"/>
  <c r="I39" i="5"/>
  <c r="C47" i="5"/>
  <c r="I35" i="5"/>
  <c r="I33" i="5"/>
  <c r="I32" i="5"/>
  <c r="J32" i="5" s="1"/>
  <c r="B26" i="5"/>
  <c r="I24" i="5"/>
  <c r="B7" i="5"/>
  <c r="N51" i="6"/>
  <c r="N8" i="6"/>
  <c r="N12" i="6"/>
  <c r="N17" i="6"/>
  <c r="N19" i="6"/>
  <c r="N25" i="6"/>
  <c r="N29" i="6"/>
  <c r="N33" i="6"/>
  <c r="N39" i="6"/>
  <c r="N43" i="6"/>
  <c r="N44" i="6"/>
  <c r="N46" i="6"/>
  <c r="N48" i="6"/>
  <c r="N54" i="6"/>
  <c r="F380" i="4"/>
  <c r="F384" i="4"/>
  <c r="F278" i="4"/>
  <c r="F282" i="4"/>
  <c r="F288" i="4"/>
  <c r="F294" i="4"/>
  <c r="F297" i="4"/>
  <c r="F301" i="4"/>
  <c r="F308" i="4"/>
  <c r="F314" i="4"/>
  <c r="F316" i="4"/>
  <c r="F318" i="4"/>
  <c r="F323" i="4"/>
  <c r="F325" i="4"/>
  <c r="F328" i="4"/>
  <c r="F330" i="4"/>
  <c r="F332" i="4"/>
  <c r="F336" i="4"/>
  <c r="F341" i="4"/>
  <c r="F344" i="4"/>
  <c r="F348" i="4"/>
  <c r="F352" i="4"/>
  <c r="F356" i="4"/>
  <c r="F362" i="4"/>
  <c r="F48" i="4"/>
  <c r="F51" i="4"/>
  <c r="F63" i="4"/>
  <c r="F64" i="4"/>
  <c r="F77" i="4"/>
  <c r="F95" i="4"/>
  <c r="F94" i="4" s="1"/>
  <c r="F99" i="4"/>
  <c r="F102" i="4"/>
  <c r="F114" i="4"/>
  <c r="F119" i="4"/>
  <c r="F122" i="4"/>
  <c r="F6" i="4"/>
  <c r="F34" i="6"/>
  <c r="G332" i="4" l="1"/>
  <c r="G328" i="4"/>
  <c r="G297" i="4"/>
  <c r="G362" i="4"/>
  <c r="Q48" i="6"/>
  <c r="O48" i="6"/>
  <c r="Q44" i="6"/>
  <c r="O44" i="6"/>
  <c r="Q39" i="6"/>
  <c r="O39" i="6"/>
  <c r="Q29" i="6"/>
  <c r="O29" i="6"/>
  <c r="Q19" i="6"/>
  <c r="O19" i="6"/>
  <c r="Q12" i="6"/>
  <c r="O12" i="6"/>
  <c r="Q54" i="6"/>
  <c r="O54" i="6"/>
  <c r="Q46" i="6"/>
  <c r="O46" i="6"/>
  <c r="Q43" i="6"/>
  <c r="Q33" i="6"/>
  <c r="O33" i="6"/>
  <c r="Q25" i="6"/>
  <c r="O25" i="6"/>
  <c r="Q17" i="6"/>
  <c r="O17" i="6"/>
  <c r="Q8" i="6"/>
  <c r="E48" i="5"/>
  <c r="G48" i="5"/>
  <c r="H48" i="5" s="1"/>
  <c r="E60" i="5"/>
  <c r="G60" i="5"/>
  <c r="H60" i="5" s="1"/>
  <c r="E64" i="5"/>
  <c r="E75" i="5"/>
  <c r="I75" i="5" s="1"/>
  <c r="J75" i="5" s="1"/>
  <c r="G64" i="5"/>
  <c r="H64" i="5" s="1"/>
  <c r="B25" i="5"/>
  <c r="E47" i="5"/>
  <c r="F61" i="4"/>
  <c r="F58" i="4"/>
  <c r="F361" i="4"/>
  <c r="F355" i="4"/>
  <c r="F5" i="4"/>
  <c r="F300" i="4"/>
  <c r="F69" i="4"/>
  <c r="F379" i="4"/>
  <c r="I22" i="5"/>
  <c r="J22" i="5" s="1"/>
  <c r="B49" i="5"/>
  <c r="B34" i="5"/>
  <c r="I64" i="5"/>
  <c r="J64" i="5" s="1"/>
  <c r="I52" i="5"/>
  <c r="J52" i="5" s="1"/>
  <c r="I60" i="5"/>
  <c r="J60" i="5" s="1"/>
  <c r="B56" i="5"/>
  <c r="G56" i="5" s="1"/>
  <c r="H56" i="5" s="1"/>
  <c r="B83" i="5"/>
  <c r="F347" i="4"/>
  <c r="F106" i="4"/>
  <c r="F47" i="4"/>
  <c r="F118" i="4"/>
  <c r="F82" i="4"/>
  <c r="F98" i="4"/>
  <c r="F335" i="4"/>
  <c r="F287" i="4"/>
  <c r="F277" i="4"/>
  <c r="F307" i="4"/>
  <c r="F322" i="4"/>
  <c r="F793" i="4" l="1"/>
  <c r="F788" i="4"/>
  <c r="G361" i="4"/>
  <c r="F785" i="4"/>
  <c r="B80" i="5"/>
  <c r="B84" i="5"/>
  <c r="E56" i="5"/>
  <c r="I56" i="5" s="1"/>
  <c r="J56" i="5" s="1"/>
  <c r="B38" i="5"/>
  <c r="F57" i="4"/>
  <c r="F68" i="4"/>
  <c r="F81" i="4"/>
  <c r="F105" i="4"/>
  <c r="C49" i="5"/>
  <c r="E49" i="5" s="1"/>
  <c r="I46" i="5"/>
  <c r="J46" i="5" s="1"/>
  <c r="F275" i="4"/>
  <c r="F791" i="4" l="1"/>
  <c r="B86" i="5"/>
  <c r="F55" i="4"/>
  <c r="C80" i="5"/>
  <c r="E80" i="5" s="1"/>
  <c r="F789" i="4" l="1"/>
  <c r="C26" i="5" l="1"/>
  <c r="E26" i="5" s="1"/>
  <c r="C25" i="5" l="1"/>
  <c r="E25" i="5" s="1"/>
  <c r="E84" i="5" s="1"/>
  <c r="C84" i="5" l="1"/>
  <c r="C7" i="5" l="1"/>
  <c r="E7" i="5" s="1"/>
  <c r="E83" i="5" s="1"/>
  <c r="C83" i="5" l="1"/>
  <c r="C86" i="5" s="1"/>
  <c r="C34" i="5"/>
  <c r="E34" i="5" s="1"/>
  <c r="E86" i="5"/>
  <c r="C38" i="5" l="1"/>
  <c r="E38" i="5" s="1"/>
  <c r="N42" i="6" l="1"/>
  <c r="N41" i="6"/>
  <c r="N38" i="6"/>
  <c r="N37" i="6"/>
  <c r="N35" i="6"/>
  <c r="L20" i="6"/>
  <c r="N11" i="6"/>
  <c r="N10" i="6"/>
  <c r="I17" i="5" l="1"/>
  <c r="J17" i="5" s="1"/>
  <c r="I14" i="5"/>
  <c r="J14" i="5" s="1"/>
  <c r="L9" i="6"/>
  <c r="N9" i="6" s="1"/>
  <c r="L40" i="6"/>
  <c r="N40" i="6" s="1"/>
  <c r="I16" i="5" l="1"/>
  <c r="J16" i="5" s="1"/>
  <c r="I48" i="5"/>
  <c r="J48" i="5" s="1"/>
  <c r="I8" i="5"/>
  <c r="J8" i="5" s="1"/>
  <c r="I18" i="5"/>
  <c r="J18" i="5" s="1"/>
  <c r="F7" i="7" l="1"/>
  <c r="F6" i="7" l="1"/>
  <c r="F5" i="12" l="1"/>
  <c r="F19" i="11"/>
  <c r="F17" i="11" l="1"/>
  <c r="G73" i="5"/>
  <c r="H73" i="5" s="1"/>
  <c r="N50" i="6"/>
  <c r="I20" i="5" l="1"/>
  <c r="J20" i="5" s="1"/>
  <c r="F70" i="5"/>
  <c r="I73" i="5"/>
  <c r="J73" i="5" s="1"/>
  <c r="I70" i="5" l="1"/>
  <c r="J70" i="5" s="1"/>
  <c r="G70" i="5"/>
  <c r="H70" i="5" s="1"/>
  <c r="F43" i="4"/>
  <c r="F30" i="4"/>
  <c r="F28" i="4"/>
  <c r="F37" i="4" l="1"/>
  <c r="F23" i="4"/>
  <c r="F42" i="4"/>
  <c r="F34" i="4"/>
  <c r="F79" i="12"/>
  <c r="B90" i="7"/>
  <c r="F42" i="7"/>
  <c r="F14" i="7"/>
  <c r="F90" i="7" l="1"/>
  <c r="G91" i="7"/>
  <c r="H91" i="7" s="1"/>
  <c r="F41" i="7"/>
  <c r="C90" i="7"/>
  <c r="E90" i="7" s="1"/>
  <c r="I90" i="7" s="1"/>
  <c r="J90" i="7" s="1"/>
  <c r="I91" i="7"/>
  <c r="J91" i="7" s="1"/>
  <c r="I19" i="5"/>
  <c r="J19" i="5" s="1"/>
  <c r="N14" i="6"/>
  <c r="F20" i="4"/>
  <c r="F33" i="4"/>
  <c r="L45" i="6" l="1"/>
  <c r="N45" i="6" s="1"/>
  <c r="G90" i="7"/>
  <c r="H90" i="7" s="1"/>
  <c r="F19" i="4"/>
  <c r="F37" i="7"/>
  <c r="J36" i="7"/>
  <c r="I36" i="7"/>
  <c r="J22" i="7"/>
  <c r="I22" i="7"/>
  <c r="F20" i="7"/>
  <c r="J19" i="7"/>
  <c r="I19" i="7"/>
  <c r="F17" i="7"/>
  <c r="F87" i="12"/>
  <c r="F787" i="4" l="1"/>
  <c r="N16" i="6"/>
  <c r="N15" i="6"/>
  <c r="F55" i="12"/>
  <c r="L13" i="6"/>
  <c r="F35" i="7"/>
  <c r="L18" i="6"/>
  <c r="F13" i="7"/>
  <c r="F54" i="12" l="1"/>
  <c r="N52" i="6"/>
  <c r="N49" i="6"/>
  <c r="F138" i="12"/>
  <c r="N27" i="6"/>
  <c r="L26" i="6"/>
  <c r="L7" i="6"/>
  <c r="N7" i="6" s="1"/>
  <c r="N13" i="6"/>
  <c r="N18" i="6"/>
  <c r="I10" i="5" l="1"/>
  <c r="J10" i="5" s="1"/>
  <c r="I9" i="5"/>
  <c r="J9" i="5" s="1"/>
  <c r="B124" i="4" l="1"/>
  <c r="C123" i="4"/>
  <c r="C121" i="4"/>
  <c r="C119" i="4" s="1"/>
  <c r="B121" i="4"/>
  <c r="B116" i="4"/>
  <c r="C115" i="4"/>
  <c r="B103" i="4"/>
  <c r="C102" i="4"/>
  <c r="C99" i="4"/>
  <c r="B99" i="4"/>
  <c r="B96" i="4"/>
  <c r="C95" i="4"/>
  <c r="B79" i="4"/>
  <c r="C78" i="4"/>
  <c r="B76" i="4"/>
  <c r="C74" i="4"/>
  <c r="C72" i="4"/>
  <c r="C65" i="4"/>
  <c r="B64" i="4"/>
  <c r="G64" i="4" s="1"/>
  <c r="H64" i="4" s="1"/>
  <c r="C61" i="4"/>
  <c r="B61" i="4"/>
  <c r="G61" i="4" s="1"/>
  <c r="H61" i="4" s="1"/>
  <c r="C58" i="4"/>
  <c r="E99" i="4" l="1"/>
  <c r="I99" i="4" s="1"/>
  <c r="J99" i="4" s="1"/>
  <c r="G99" i="4"/>
  <c r="H99" i="4" s="1"/>
  <c r="E76" i="4"/>
  <c r="I76" i="4" s="1"/>
  <c r="J76" i="4" s="1"/>
  <c r="C94" i="4"/>
  <c r="E95" i="4"/>
  <c r="I95" i="4" s="1"/>
  <c r="J95" i="4" s="1"/>
  <c r="E115" i="4"/>
  <c r="I115" i="4" s="1"/>
  <c r="J115" i="4" s="1"/>
  <c r="E124" i="4"/>
  <c r="I124" i="4" s="1"/>
  <c r="J124" i="4" s="1"/>
  <c r="C64" i="4"/>
  <c r="E64" i="4" s="1"/>
  <c r="I64" i="4" s="1"/>
  <c r="J64" i="4" s="1"/>
  <c r="E65" i="4"/>
  <c r="I65" i="4" s="1"/>
  <c r="J65" i="4" s="1"/>
  <c r="E72" i="4"/>
  <c r="I72" i="4" s="1"/>
  <c r="J72" i="4" s="1"/>
  <c r="E74" i="4"/>
  <c r="I74" i="4" s="1"/>
  <c r="J74" i="4" s="1"/>
  <c r="E79" i="4"/>
  <c r="I79" i="4" s="1"/>
  <c r="J79" i="4" s="1"/>
  <c r="E61" i="4"/>
  <c r="I61" i="4" s="1"/>
  <c r="J61" i="4" s="1"/>
  <c r="C77" i="4"/>
  <c r="E78" i="4"/>
  <c r="I78" i="4" s="1"/>
  <c r="J78" i="4" s="1"/>
  <c r="E96" i="4"/>
  <c r="I96" i="4" s="1"/>
  <c r="J96" i="4" s="1"/>
  <c r="E103" i="4"/>
  <c r="I103" i="4" s="1"/>
  <c r="J103" i="4" s="1"/>
  <c r="B114" i="4"/>
  <c r="G114" i="4" s="1"/>
  <c r="H114" i="4" s="1"/>
  <c r="E116" i="4"/>
  <c r="I116" i="4" s="1"/>
  <c r="J116" i="4" s="1"/>
  <c r="B119" i="4"/>
  <c r="E121" i="4"/>
  <c r="I121" i="4" s="1"/>
  <c r="J121" i="4" s="1"/>
  <c r="C122" i="4"/>
  <c r="E123" i="4"/>
  <c r="I123" i="4" s="1"/>
  <c r="J123" i="4" s="1"/>
  <c r="C98" i="4"/>
  <c r="B122" i="4"/>
  <c r="G122" i="4" s="1"/>
  <c r="H122" i="4" s="1"/>
  <c r="C114" i="4"/>
  <c r="C57" i="4"/>
  <c r="B77" i="4"/>
  <c r="G77" i="4" s="1"/>
  <c r="H77" i="4" s="1"/>
  <c r="B102" i="4"/>
  <c r="G102" i="4" s="1"/>
  <c r="H102" i="4" s="1"/>
  <c r="C106" i="4"/>
  <c r="C82" i="4"/>
  <c r="C81" i="4" s="1"/>
  <c r="B94" i="4"/>
  <c r="G94" i="4" s="1"/>
  <c r="H94" i="4" s="1"/>
  <c r="B106" i="4"/>
  <c r="C118" i="4"/>
  <c r="B69" i="4"/>
  <c r="G69" i="4" s="1"/>
  <c r="H69" i="4" s="1"/>
  <c r="E119" i="4" l="1"/>
  <c r="I119" i="4" s="1"/>
  <c r="J119" i="4" s="1"/>
  <c r="G119" i="4"/>
  <c r="H119" i="4" s="1"/>
  <c r="E106" i="4"/>
  <c r="I106" i="4" s="1"/>
  <c r="J106" i="4" s="1"/>
  <c r="G106" i="4"/>
  <c r="H106" i="4" s="1"/>
  <c r="E114" i="4"/>
  <c r="I114" i="4" s="1"/>
  <c r="J114" i="4" s="1"/>
  <c r="B82" i="4"/>
  <c r="E94" i="4"/>
  <c r="I94" i="4" s="1"/>
  <c r="J94" i="4" s="1"/>
  <c r="B98" i="4"/>
  <c r="E102" i="4"/>
  <c r="I102" i="4" s="1"/>
  <c r="J102" i="4" s="1"/>
  <c r="E77" i="4"/>
  <c r="I77" i="4" s="1"/>
  <c r="J77" i="4" s="1"/>
  <c r="E122" i="4"/>
  <c r="I122" i="4" s="1"/>
  <c r="J122" i="4" s="1"/>
  <c r="E82" i="4"/>
  <c r="I82" i="4" s="1"/>
  <c r="J82" i="4" s="1"/>
  <c r="C69" i="4"/>
  <c r="C68" i="4" s="1"/>
  <c r="C105" i="4"/>
  <c r="B118" i="4"/>
  <c r="G118" i="4" s="1"/>
  <c r="H118" i="4" s="1"/>
  <c r="B58" i="4"/>
  <c r="G58" i="4" s="1"/>
  <c r="H58" i="4" s="1"/>
  <c r="B105" i="4"/>
  <c r="G105" i="4" s="1"/>
  <c r="H105" i="4" s="1"/>
  <c r="B68" i="4"/>
  <c r="G68" i="4" s="1"/>
  <c r="H68" i="4" s="1"/>
  <c r="E98" i="4" l="1"/>
  <c r="I98" i="4" s="1"/>
  <c r="J98" i="4" s="1"/>
  <c r="G98" i="4"/>
  <c r="H98" i="4" s="1"/>
  <c r="B81" i="4"/>
  <c r="G81" i="4" s="1"/>
  <c r="H81" i="4" s="1"/>
  <c r="G82" i="4"/>
  <c r="H82" i="4" s="1"/>
  <c r="E105" i="4"/>
  <c r="I105" i="4" s="1"/>
  <c r="J105" i="4" s="1"/>
  <c r="E118" i="4"/>
  <c r="I118" i="4" s="1"/>
  <c r="J118" i="4" s="1"/>
  <c r="E68" i="4"/>
  <c r="I68" i="4" s="1"/>
  <c r="J68" i="4" s="1"/>
  <c r="B57" i="4"/>
  <c r="E58" i="4"/>
  <c r="I58" i="4" s="1"/>
  <c r="J58" i="4" s="1"/>
  <c r="E69" i="4"/>
  <c r="I69" i="4" s="1"/>
  <c r="J69" i="4" s="1"/>
  <c r="E81" i="4"/>
  <c r="I81" i="4" s="1"/>
  <c r="J81" i="4" s="1"/>
  <c r="C55" i="4"/>
  <c r="E57" i="4" l="1"/>
  <c r="I57" i="4" s="1"/>
  <c r="J57" i="4" s="1"/>
  <c r="G57" i="4"/>
  <c r="H57" i="4" s="1"/>
  <c r="B55" i="4"/>
  <c r="G55" i="4" s="1"/>
  <c r="H55" i="4" s="1"/>
  <c r="D318" i="17"/>
  <c r="J318" i="17" s="1"/>
  <c r="K318" i="17" s="1"/>
  <c r="E55" i="4"/>
  <c r="C789" i="4"/>
  <c r="F318" i="17"/>
  <c r="B789" i="4"/>
  <c r="G789" i="4" s="1"/>
  <c r="H789" i="4" s="1"/>
  <c r="E784" i="4"/>
  <c r="I784" i="4" s="1"/>
  <c r="E783" i="4"/>
  <c r="I783" i="4" s="1"/>
  <c r="I9" i="7"/>
  <c r="J9" i="7"/>
  <c r="I12" i="7"/>
  <c r="J12" i="7"/>
  <c r="I16" i="7"/>
  <c r="J16" i="7"/>
  <c r="I28" i="7"/>
  <c r="J28" i="7"/>
  <c r="I34" i="7"/>
  <c r="J34" i="7"/>
  <c r="I40" i="7"/>
  <c r="J40" i="7"/>
  <c r="I45" i="7"/>
  <c r="J45" i="7"/>
  <c r="I46" i="7"/>
  <c r="J46" i="7"/>
  <c r="I53" i="7"/>
  <c r="J53" i="7"/>
  <c r="I54" i="7"/>
  <c r="J54" i="7"/>
  <c r="I55" i="7"/>
  <c r="J55" i="7"/>
  <c r="I56" i="7"/>
  <c r="J56" i="7"/>
  <c r="I58" i="7"/>
  <c r="J58" i="7"/>
  <c r="I59" i="7"/>
  <c r="J59" i="7"/>
  <c r="I61" i="7"/>
  <c r="J61" i="7"/>
  <c r="I66" i="7"/>
  <c r="J66" i="7"/>
  <c r="I70" i="7"/>
  <c r="J70" i="7"/>
  <c r="I73" i="7"/>
  <c r="J73" i="7"/>
  <c r="I74" i="7"/>
  <c r="J74" i="7"/>
  <c r="I82" i="7"/>
  <c r="J82" i="7"/>
  <c r="I87" i="7"/>
  <c r="J87" i="7"/>
  <c r="I89" i="7"/>
  <c r="J89" i="7"/>
  <c r="I92" i="7"/>
  <c r="J92" i="7"/>
  <c r="E789" i="4" l="1"/>
  <c r="I789" i="4" s="1"/>
  <c r="J789" i="4" s="1"/>
  <c r="I55" i="4"/>
  <c r="J55" i="4" s="1"/>
  <c r="F11" i="13"/>
  <c r="G11" i="13" s="1"/>
  <c r="H11" i="13" s="1"/>
  <c r="F322" i="17"/>
  <c r="F317" i="17" s="1"/>
  <c r="H318" i="17"/>
  <c r="L318" i="17" s="1"/>
  <c r="M318" i="17" s="1"/>
  <c r="D322" i="17"/>
  <c r="J322" i="17" s="1"/>
  <c r="K322" i="17" s="1"/>
  <c r="F14" i="4"/>
  <c r="F17" i="4"/>
  <c r="C11" i="11"/>
  <c r="G14" i="4" l="1"/>
  <c r="I14" i="4"/>
  <c r="G17" i="4"/>
  <c r="H17" i="4" s="1"/>
  <c r="I17" i="4"/>
  <c r="J17" i="4" s="1"/>
  <c r="I11" i="13"/>
  <c r="J11" i="13" s="1"/>
  <c r="H322" i="17"/>
  <c r="L322" i="17" s="1"/>
  <c r="M322" i="17" s="1"/>
  <c r="D317" i="17"/>
  <c r="J317" i="17" s="1"/>
  <c r="K317" i="17" s="1"/>
  <c r="B11" i="11"/>
  <c r="H317" i="17" l="1"/>
  <c r="L317" i="17" s="1"/>
  <c r="M317" i="17" s="1"/>
  <c r="C197" i="4"/>
  <c r="C205" i="4"/>
  <c r="C206" i="4"/>
  <c r="E205" i="4" l="1"/>
  <c r="I205" i="4" s="1"/>
  <c r="J205" i="4" s="1"/>
  <c r="E206" i="4"/>
  <c r="I206" i="4" s="1"/>
  <c r="J206" i="4" s="1"/>
  <c r="E197" i="4"/>
  <c r="I197" i="4" s="1"/>
  <c r="J197" i="4" s="1"/>
  <c r="C151" i="4"/>
  <c r="E151" i="4" s="1"/>
  <c r="I151" i="4" s="1"/>
  <c r="J151" i="4" s="1"/>
  <c r="C235" i="4"/>
  <c r="C232" i="4"/>
  <c r="C228" i="4"/>
  <c r="C266" i="4"/>
  <c r="C373" i="4"/>
  <c r="C404" i="4"/>
  <c r="C408" i="4"/>
  <c r="C423" i="4"/>
  <c r="C432" i="4"/>
  <c r="C469" i="4"/>
  <c r="E469" i="4" s="1"/>
  <c r="I469" i="4" s="1"/>
  <c r="J469" i="4" s="1"/>
  <c r="C488" i="4"/>
  <c r="E488" i="4" s="1"/>
  <c r="I488" i="4" s="1"/>
  <c r="J488" i="4" s="1"/>
  <c r="C492" i="4"/>
  <c r="C491" i="4" s="1"/>
  <c r="C579" i="4"/>
  <c r="E579" i="4" s="1"/>
  <c r="I579" i="4" s="1"/>
  <c r="J579" i="4" s="1"/>
  <c r="C586" i="4"/>
  <c r="C585" i="4" s="1"/>
  <c r="C581" i="4"/>
  <c r="C602" i="4"/>
  <c r="E602" i="4" s="1"/>
  <c r="I602" i="4" s="1"/>
  <c r="J602" i="4" s="1"/>
  <c r="C620" i="4"/>
  <c r="C640" i="4"/>
  <c r="C670" i="4"/>
  <c r="C668" i="4"/>
  <c r="C665" i="4"/>
  <c r="C662" i="4"/>
  <c r="C660" i="4"/>
  <c r="C658" i="4"/>
  <c r="C676" i="4"/>
  <c r="C690" i="4"/>
  <c r="C686" i="4"/>
  <c r="C715" i="4"/>
  <c r="C723" i="4"/>
  <c r="E723" i="4" s="1"/>
  <c r="I723" i="4" s="1"/>
  <c r="J723" i="4" s="1"/>
  <c r="C726" i="4"/>
  <c r="E726" i="4" s="1"/>
  <c r="I726" i="4" s="1"/>
  <c r="J726" i="4" s="1"/>
  <c r="C743" i="4"/>
  <c r="C776" i="4"/>
  <c r="C770" i="4"/>
  <c r="C767" i="4"/>
  <c r="C795" i="4"/>
  <c r="C786" i="4"/>
  <c r="C779" i="4"/>
  <c r="C763" i="4"/>
  <c r="C760" i="4"/>
  <c r="C755" i="4"/>
  <c r="C754" i="4" s="1"/>
  <c r="C750" i="4"/>
  <c r="C746" i="4"/>
  <c r="C740" i="4"/>
  <c r="C730" i="4"/>
  <c r="C728" i="4"/>
  <c r="C717" i="4"/>
  <c r="C710" i="4"/>
  <c r="C703" i="4"/>
  <c r="C700" i="4"/>
  <c r="C696" i="4"/>
  <c r="C681" i="4"/>
  <c r="C647" i="4"/>
  <c r="C646" i="4" s="1"/>
  <c r="C637" i="4"/>
  <c r="C631" i="4"/>
  <c r="C626" i="4"/>
  <c r="C623" i="4"/>
  <c r="C617" i="4"/>
  <c r="C606" i="4"/>
  <c r="E606" i="4" s="1"/>
  <c r="I606" i="4" s="1"/>
  <c r="J606" i="4" s="1"/>
  <c r="C598" i="4"/>
  <c r="C592" i="4"/>
  <c r="C571" i="4"/>
  <c r="C569" i="4"/>
  <c r="C564" i="4"/>
  <c r="C561" i="4"/>
  <c r="C557" i="4"/>
  <c r="C554" i="4"/>
  <c r="C546" i="4"/>
  <c r="C543" i="4"/>
  <c r="C538" i="4"/>
  <c r="C535" i="4"/>
  <c r="C531" i="4"/>
  <c r="C528" i="4"/>
  <c r="C520" i="4"/>
  <c r="C515" i="4"/>
  <c r="C510" i="4"/>
  <c r="C507" i="4"/>
  <c r="C499" i="4"/>
  <c r="C494" i="4"/>
  <c r="C484" i="4"/>
  <c r="C474" i="4"/>
  <c r="C473" i="4" s="1"/>
  <c r="C470" i="4"/>
  <c r="C468" i="4"/>
  <c r="C463" i="4"/>
  <c r="C460" i="4"/>
  <c r="C457" i="4"/>
  <c r="C454" i="4"/>
  <c r="C427" i="4"/>
  <c r="C422" i="4"/>
  <c r="C418" i="4"/>
  <c r="C398" i="4"/>
  <c r="C392" i="4"/>
  <c r="C384" i="4"/>
  <c r="C380" i="4"/>
  <c r="C376" i="4"/>
  <c r="C368" i="4"/>
  <c r="C362" i="4"/>
  <c r="E362" i="4" s="1"/>
  <c r="I362" i="4" s="1"/>
  <c r="J362" i="4" s="1"/>
  <c r="C356" i="4"/>
  <c r="C355" i="4" s="1"/>
  <c r="C352" i="4"/>
  <c r="C348" i="4"/>
  <c r="C344" i="4"/>
  <c r="C341" i="4"/>
  <c r="C336" i="4"/>
  <c r="C332" i="4"/>
  <c r="C330" i="4"/>
  <c r="C328" i="4"/>
  <c r="C325" i="4"/>
  <c r="C323" i="4"/>
  <c r="C318" i="4"/>
  <c r="C316" i="4"/>
  <c r="C314" i="4"/>
  <c r="C308" i="4"/>
  <c r="C301" i="4"/>
  <c r="C300" i="4" s="1"/>
  <c r="C297" i="4"/>
  <c r="C294" i="4"/>
  <c r="C288" i="4"/>
  <c r="C282" i="4"/>
  <c r="C278" i="4"/>
  <c r="C272" i="4"/>
  <c r="C269" i="4"/>
  <c r="C257" i="4"/>
  <c r="C254" i="4"/>
  <c r="C222" i="4"/>
  <c r="C219" i="4"/>
  <c r="C211" i="4"/>
  <c r="C208" i="4"/>
  <c r="C204" i="4"/>
  <c r="C199" i="4"/>
  <c r="C194" i="4"/>
  <c r="C190" i="4"/>
  <c r="C185" i="4"/>
  <c r="C169" i="4"/>
  <c r="C154" i="4"/>
  <c r="C146" i="4"/>
  <c r="C144" i="4"/>
  <c r="C140" i="4"/>
  <c r="C136" i="4"/>
  <c r="C134" i="4"/>
  <c r="C133" i="4" s="1"/>
  <c r="C131" i="4"/>
  <c r="C51" i="4"/>
  <c r="C48" i="4"/>
  <c r="C43" i="4"/>
  <c r="C42" i="4" s="1"/>
  <c r="C37" i="4"/>
  <c r="C34" i="4"/>
  <c r="C30" i="4"/>
  <c r="C28" i="4"/>
  <c r="C23" i="4"/>
  <c r="C6" i="4"/>
  <c r="C249" i="4" l="1"/>
  <c r="E146" i="4"/>
  <c r="I146" i="4" s="1"/>
  <c r="J146" i="4" s="1"/>
  <c r="E297" i="4"/>
  <c r="I297" i="4" s="1"/>
  <c r="J297" i="4" s="1"/>
  <c r="E328" i="4"/>
  <c r="I328" i="4" s="1"/>
  <c r="J328" i="4" s="1"/>
  <c r="E332" i="4"/>
  <c r="I332" i="4" s="1"/>
  <c r="J332" i="4" s="1"/>
  <c r="E169" i="4"/>
  <c r="I169" i="4" s="1"/>
  <c r="J169" i="4" s="1"/>
  <c r="E423" i="4"/>
  <c r="I423" i="4" s="1"/>
  <c r="J423" i="4" s="1"/>
  <c r="E404" i="4"/>
  <c r="I404" i="4" s="1"/>
  <c r="J404" i="4" s="1"/>
  <c r="E266" i="4"/>
  <c r="I266" i="4" s="1"/>
  <c r="J266" i="4" s="1"/>
  <c r="C605" i="4"/>
  <c r="E605" i="4" s="1"/>
  <c r="I605" i="4" s="1"/>
  <c r="J605" i="4" s="1"/>
  <c r="C265" i="4"/>
  <c r="C264" i="4" s="1"/>
  <c r="C601" i="4"/>
  <c r="C597" i="4" s="1"/>
  <c r="C487" i="4"/>
  <c r="C483" i="4" s="1"/>
  <c r="C403" i="4"/>
  <c r="C402" i="4" s="1"/>
  <c r="C361" i="4"/>
  <c r="C176" i="4"/>
  <c r="C150" i="4"/>
  <c r="C149" i="4" s="1"/>
  <c r="C372" i="4"/>
  <c r="C367" i="4" s="1"/>
  <c r="C792" i="4" s="1"/>
  <c r="C775" i="4"/>
  <c r="C576" i="4"/>
  <c r="C575" i="4" s="1"/>
  <c r="C722" i="4"/>
  <c r="C721" i="4" s="1"/>
  <c r="C307" i="4"/>
  <c r="C685" i="4"/>
  <c r="C227" i="4"/>
  <c r="C379" i="4"/>
  <c r="C793" i="4" s="1"/>
  <c r="C616" i="4"/>
  <c r="C224" i="4"/>
  <c r="C139" i="4"/>
  <c r="C165" i="4"/>
  <c r="C193" i="4"/>
  <c r="C215" i="4"/>
  <c r="C287" i="4"/>
  <c r="C426" i="4"/>
  <c r="C498" i="4"/>
  <c r="C33" i="4"/>
  <c r="C759" i="4"/>
  <c r="C5" i="4"/>
  <c r="C591" i="4"/>
  <c r="C630" i="4"/>
  <c r="C695" i="4"/>
  <c r="C568" i="4"/>
  <c r="C322" i="4"/>
  <c r="C347" i="4"/>
  <c r="C453" i="4"/>
  <c r="C467" i="4"/>
  <c r="C506" i="4"/>
  <c r="C527" i="4"/>
  <c r="C542" i="4"/>
  <c r="C766" i="4"/>
  <c r="C20" i="4"/>
  <c r="C184" i="4"/>
  <c r="C203" i="4"/>
  <c r="C243" i="4"/>
  <c r="C277" i="4"/>
  <c r="C335" i="4"/>
  <c r="C47" i="4"/>
  <c r="C128" i="4"/>
  <c r="C239" i="4"/>
  <c r="C389" i="4"/>
  <c r="C514" i="4"/>
  <c r="C553" i="4"/>
  <c r="C709" i="4"/>
  <c r="C739" i="4"/>
  <c r="C417" i="4"/>
  <c r="C657" i="4"/>
  <c r="C675" i="4"/>
  <c r="E361" i="4" l="1"/>
  <c r="I361" i="4" s="1"/>
  <c r="J361" i="4" s="1"/>
  <c r="C214" i="4"/>
  <c r="C785" i="4"/>
  <c r="C451" i="4"/>
  <c r="C797" i="4" s="1"/>
  <c r="C614" i="4"/>
  <c r="C801" i="4" s="1"/>
  <c r="C788" i="4"/>
  <c r="C655" i="4"/>
  <c r="C802" i="4" s="1"/>
  <c r="C238" i="4"/>
  <c r="C551" i="4"/>
  <c r="C800" i="4" s="1"/>
  <c r="C175" i="4"/>
  <c r="C275" i="4"/>
  <c r="C19" i="4"/>
  <c r="C737" i="4"/>
  <c r="C804" i="4" s="1"/>
  <c r="C387" i="4"/>
  <c r="C794" i="4" s="1"/>
  <c r="C525" i="4"/>
  <c r="C164" i="4"/>
  <c r="C481" i="4"/>
  <c r="C707" i="4"/>
  <c r="C803" i="4" s="1"/>
  <c r="C126" i="4" l="1"/>
  <c r="C782" i="4" s="1"/>
  <c r="C799" i="4"/>
  <c r="C787" i="4"/>
  <c r="C791" i="4"/>
  <c r="C798" i="4"/>
  <c r="C790" i="4" l="1"/>
  <c r="C805" i="4" l="1"/>
  <c r="F519" i="17" l="1"/>
  <c r="F1797" i="17" l="1"/>
  <c r="F1799" i="17"/>
  <c r="F1800" i="17"/>
  <c r="F1801" i="17"/>
  <c r="F1802" i="17"/>
  <c r="F1803" i="17"/>
  <c r="F1806" i="17"/>
  <c r="F1833" i="17"/>
  <c r="F1834" i="17"/>
  <c r="F1835" i="17"/>
  <c r="F1836" i="17"/>
  <c r="F1837" i="17"/>
  <c r="F1838" i="17"/>
  <c r="F1840" i="17"/>
  <c r="F1841" i="17"/>
  <c r="F1868" i="17"/>
  <c r="F1869" i="17"/>
  <c r="F1870" i="17"/>
  <c r="F1871" i="17"/>
  <c r="F1872" i="17"/>
  <c r="F1873" i="17"/>
  <c r="F1875" i="17"/>
  <c r="F1904" i="17"/>
  <c r="F1905" i="17"/>
  <c r="F1906" i="17"/>
  <c r="F1907" i="17"/>
  <c r="F1908" i="17"/>
  <c r="F1909" i="17"/>
  <c r="F1911" i="17"/>
  <c r="F1912" i="17"/>
  <c r="F1914" i="17"/>
  <c r="F1915" i="17"/>
  <c r="F1916" i="17"/>
  <c r="F1918" i="17"/>
  <c r="F1919" i="17"/>
  <c r="F1920" i="17"/>
  <c r="F1921" i="17"/>
  <c r="F1922" i="17"/>
  <c r="F1923" i="17"/>
  <c r="F1924" i="17"/>
  <c r="F1925" i="17"/>
  <c r="F1747" i="17"/>
  <c r="F1709" i="17"/>
  <c r="F1697" i="17"/>
  <c r="F1696" i="17" s="1"/>
  <c r="F1685" i="17"/>
  <c r="F1683" i="17"/>
  <c r="F1899" i="17" s="1"/>
  <c r="F1655" i="17"/>
  <c r="F1643" i="17"/>
  <c r="F1642" i="17" s="1"/>
  <c r="F1637" i="17"/>
  <c r="F1636" i="17" s="1"/>
  <c r="F1632" i="17"/>
  <c r="F1630" i="17"/>
  <c r="F1898" i="17" s="1"/>
  <c r="F1599" i="17"/>
  <c r="F1561" i="17"/>
  <c r="F1559" i="17"/>
  <c r="F1897" i="17" s="1"/>
  <c r="F1523" i="17"/>
  <c r="F1511" i="17"/>
  <c r="F1509" i="17" s="1"/>
  <c r="F1499" i="17"/>
  <c r="F1497" i="17"/>
  <c r="F1896" i="17" s="1"/>
  <c r="F1464" i="17"/>
  <c r="F1460" i="17"/>
  <c r="F1451" i="17"/>
  <c r="F1446" i="17"/>
  <c r="F1428" i="17"/>
  <c r="F1426" i="17"/>
  <c r="F1895" i="17" s="1"/>
  <c r="F1395" i="17"/>
  <c r="F1392" i="17"/>
  <c r="F1383" i="17"/>
  <c r="F1382" i="17" s="1"/>
  <c r="F1376" i="17"/>
  <c r="F1374" i="17"/>
  <c r="F1894" i="17" s="1"/>
  <c r="F1322" i="17"/>
  <c r="F1318" i="17"/>
  <c r="F1309" i="17"/>
  <c r="F1303" i="17" s="1"/>
  <c r="F1298" i="17"/>
  <c r="F1297" i="17" s="1"/>
  <c r="F1893" i="17"/>
  <c r="F1260" i="17"/>
  <c r="F1247" i="17"/>
  <c r="F1246" i="17"/>
  <c r="F1241" i="17"/>
  <c r="F1240" i="17" s="1"/>
  <c r="F1236" i="17"/>
  <c r="F1234" i="17"/>
  <c r="F1892" i="17" s="1"/>
  <c r="F1209" i="17"/>
  <c r="F1891" i="17" s="1"/>
  <c r="F1204" i="17"/>
  <c r="F1208" i="17" s="1"/>
  <c r="F1858" i="17" s="1"/>
  <c r="F1188" i="17"/>
  <c r="F1890" i="17" s="1"/>
  <c r="F1182" i="17"/>
  <c r="F1187" i="17" s="1"/>
  <c r="F1857" i="17" s="1"/>
  <c r="F1122" i="17"/>
  <c r="F1102" i="17"/>
  <c r="F1101" i="17"/>
  <c r="F1100" i="17" s="1"/>
  <c r="F1082" i="17"/>
  <c r="F1081" i="17"/>
  <c r="F1080" i="17" s="1"/>
  <c r="F1073" i="17"/>
  <c r="F999" i="17"/>
  <c r="F981" i="17"/>
  <c r="F980" i="17" s="1"/>
  <c r="F978" i="17"/>
  <c r="F1888" i="17" s="1"/>
  <c r="F939" i="17"/>
  <c r="F925" i="17"/>
  <c r="F1887" i="17" s="1"/>
  <c r="F577" i="17"/>
  <c r="H577" i="17" s="1"/>
  <c r="L577" i="17" s="1"/>
  <c r="M577" i="17" s="1"/>
  <c r="F502" i="17"/>
  <c r="F484" i="17"/>
  <c r="F455" i="17" s="1"/>
  <c r="F1885" i="17" s="1"/>
  <c r="F483" i="17"/>
  <c r="F461" i="17"/>
  <c r="F457" i="17"/>
  <c r="F303" i="17"/>
  <c r="F1883" i="17" s="1"/>
  <c r="F297" i="17"/>
  <c r="F1882" i="17"/>
  <c r="F1881" i="17"/>
  <c r="F1846" i="17"/>
  <c r="F12" i="17"/>
  <c r="F1880" i="17" s="1"/>
  <c r="F7" i="17"/>
  <c r="F1884" i="17" l="1"/>
  <c r="F569" i="17"/>
  <c r="F514" i="17" s="1"/>
  <c r="F1745" i="17"/>
  <c r="F11" i="17"/>
  <c r="F1845" i="17" s="1"/>
  <c r="F1444" i="17"/>
  <c r="F1420" i="17" s="1"/>
  <c r="F1425" i="17" s="1"/>
  <c r="F1862" i="17" s="1"/>
  <c r="F1886" i="17"/>
  <c r="F1553" i="17"/>
  <c r="F1558" i="17" s="1"/>
  <c r="F1864" i="17" s="1"/>
  <c r="F1926" i="17"/>
  <c r="F1071" i="17"/>
  <c r="F1889" i="17" s="1"/>
  <c r="F932" i="17"/>
  <c r="F1677" i="17"/>
  <c r="F1625" i="17"/>
  <c r="F1629" i="17" s="1"/>
  <c r="F1492" i="17"/>
  <c r="F1496" i="17" s="1"/>
  <c r="F1863" i="17" s="1"/>
  <c r="F1369" i="17"/>
  <c r="F1373" i="17" s="1"/>
  <c r="F1284" i="17"/>
  <c r="F1290" i="17" s="1"/>
  <c r="F1860" i="17" s="1"/>
  <c r="F1229" i="17"/>
  <c r="F1233" i="17" s="1"/>
  <c r="F1206" i="17"/>
  <c r="F1184" i="17"/>
  <c r="F1064" i="17"/>
  <c r="F1070" i="17" s="1"/>
  <c r="F1856" i="17" s="1"/>
  <c r="F972" i="17"/>
  <c r="F482" i="17"/>
  <c r="F302" i="17"/>
  <c r="F1848" i="17" s="1"/>
  <c r="F920" i="17" l="1"/>
  <c r="F924" i="17" s="1"/>
  <c r="F1853" i="17" s="1"/>
  <c r="F448" i="17"/>
  <c r="F454" i="17" s="1"/>
  <c r="F1850" i="17" s="1"/>
  <c r="F9" i="17"/>
  <c r="F1900" i="17"/>
  <c r="F1555" i="17"/>
  <c r="F1371" i="17"/>
  <c r="F1861" i="17"/>
  <c r="F1231" i="17"/>
  <c r="F1859" i="17"/>
  <c r="F1627" i="17"/>
  <c r="F1865" i="17"/>
  <c r="F1682" i="17"/>
  <c r="F1866" i="17" s="1"/>
  <c r="F1494" i="17"/>
  <c r="F1422" i="17"/>
  <c r="F1286" i="17"/>
  <c r="F1066" i="17"/>
  <c r="F977" i="17"/>
  <c r="F1855" i="17" s="1"/>
  <c r="F299" i="17"/>
  <c r="F1760" i="17"/>
  <c r="F1849" i="17" l="1"/>
  <c r="F450" i="17"/>
  <c r="F1852" i="17"/>
  <c r="F1679" i="17"/>
  <c r="F974" i="17"/>
  <c r="F922" i="17"/>
  <c r="F1847" i="17"/>
  <c r="F1867" i="17" l="1"/>
  <c r="F1876" i="17" l="1"/>
  <c r="C86" i="7"/>
  <c r="E86" i="7" s="1"/>
  <c r="C53" i="7" l="1"/>
  <c r="E53" i="7" s="1"/>
  <c r="C7" i="7" l="1"/>
  <c r="C6" i="7" s="1"/>
  <c r="C57" i="12" l="1"/>
  <c r="G39" i="6" l="1"/>
  <c r="K39" i="6" s="1"/>
  <c r="I72" i="7" l="1"/>
  <c r="J72" i="7" s="1"/>
  <c r="C71" i="7" l="1"/>
  <c r="E71" i="7" s="1"/>
  <c r="E36" i="6" l="1"/>
  <c r="G36" i="6" s="1"/>
  <c r="C114" i="12" l="1"/>
  <c r="C117" i="12"/>
  <c r="C98" i="12"/>
  <c r="C112" i="12" l="1"/>
  <c r="C107" i="12" s="1"/>
  <c r="C79" i="12"/>
  <c r="G54" i="6" l="1"/>
  <c r="K54" i="6" s="1"/>
  <c r="G48" i="6"/>
  <c r="K48" i="6" s="1"/>
  <c r="G46" i="6"/>
  <c r="K46" i="6" s="1"/>
  <c r="G44" i="6"/>
  <c r="K44" i="6" s="1"/>
  <c r="G33" i="6"/>
  <c r="K33" i="6" s="1"/>
  <c r="G29" i="6"/>
  <c r="K29" i="6" s="1"/>
  <c r="G25" i="6"/>
  <c r="K25" i="6" s="1"/>
  <c r="G19" i="6"/>
  <c r="K19" i="6" s="1"/>
  <c r="G17" i="6"/>
  <c r="K17" i="6" s="1"/>
  <c r="G12" i="6"/>
  <c r="K12" i="6" s="1"/>
  <c r="G8" i="6"/>
  <c r="K8" i="6" s="1"/>
  <c r="F51" i="6"/>
  <c r="G51" i="6" s="1"/>
  <c r="E10" i="6"/>
  <c r="G10" i="6" s="1"/>
  <c r="E11" i="6"/>
  <c r="G11" i="6" s="1"/>
  <c r="E14" i="6"/>
  <c r="G14" i="6" s="1"/>
  <c r="E15" i="6"/>
  <c r="G15" i="6" s="1"/>
  <c r="E18" i="6"/>
  <c r="G18" i="6" s="1"/>
  <c r="E23" i="6"/>
  <c r="E20" i="6" s="1"/>
  <c r="E27" i="6"/>
  <c r="G27" i="6" s="1"/>
  <c r="E31" i="6"/>
  <c r="G31" i="6" s="1"/>
  <c r="E32" i="6"/>
  <c r="G32" i="6" s="1"/>
  <c r="E37" i="6"/>
  <c r="E38" i="6"/>
  <c r="E52" i="6"/>
  <c r="G38" i="6" l="1"/>
  <c r="G37" i="6"/>
  <c r="E9" i="6"/>
  <c r="G9" i="6" s="1"/>
  <c r="E30" i="6"/>
  <c r="G30" i="6" s="1"/>
  <c r="E1797" i="17" l="1"/>
  <c r="E1799" i="17"/>
  <c r="E1800" i="17"/>
  <c r="E1801" i="17"/>
  <c r="E1802" i="17"/>
  <c r="E1803" i="17"/>
  <c r="E1806" i="17"/>
  <c r="E1833" i="17"/>
  <c r="E1834" i="17"/>
  <c r="E1835" i="17"/>
  <c r="E1836" i="17"/>
  <c r="E1837" i="17"/>
  <c r="E1838" i="17"/>
  <c r="E1840" i="17"/>
  <c r="E1841" i="17"/>
  <c r="E1845" i="17"/>
  <c r="E1846" i="17"/>
  <c r="E1847" i="17"/>
  <c r="E1848" i="17"/>
  <c r="E1849" i="17"/>
  <c r="E1850" i="17"/>
  <c r="E1853" i="17"/>
  <c r="E1855" i="17"/>
  <c r="E1856" i="17"/>
  <c r="E1857" i="17"/>
  <c r="E1858" i="17"/>
  <c r="E1868" i="17"/>
  <c r="E1869" i="17"/>
  <c r="E1870" i="17"/>
  <c r="E1871" i="17"/>
  <c r="E1872" i="17"/>
  <c r="E1873" i="17"/>
  <c r="E1875" i="17"/>
  <c r="E1880" i="17"/>
  <c r="E1881" i="17"/>
  <c r="E1882" i="17"/>
  <c r="E1883" i="17"/>
  <c r="E1884" i="17"/>
  <c r="E1885" i="17"/>
  <c r="E1887" i="17"/>
  <c r="E1888" i="17"/>
  <c r="E1889" i="17"/>
  <c r="E1890" i="17"/>
  <c r="E1891" i="17"/>
  <c r="E1904" i="17"/>
  <c r="E1905" i="17"/>
  <c r="E1906" i="17"/>
  <c r="E1907" i="17"/>
  <c r="E1908" i="17"/>
  <c r="E1909" i="17"/>
  <c r="E1911" i="17"/>
  <c r="E1912" i="17"/>
  <c r="E1914" i="17"/>
  <c r="E1915" i="17"/>
  <c r="E1916" i="17"/>
  <c r="E1918" i="17"/>
  <c r="E1919" i="17"/>
  <c r="E1920" i="17"/>
  <c r="E1921" i="17"/>
  <c r="E1922" i="17"/>
  <c r="E1923" i="17"/>
  <c r="E1924" i="17"/>
  <c r="E1925" i="17"/>
  <c r="E42" i="6"/>
  <c r="G42" i="6" s="1"/>
  <c r="C84" i="7"/>
  <c r="C68" i="7"/>
  <c r="I88" i="7"/>
  <c r="J88" i="7" s="1"/>
  <c r="I85" i="7"/>
  <c r="J85" i="7" s="1"/>
  <c r="I81" i="7"/>
  <c r="J81" i="7" s="1"/>
  <c r="I80" i="7"/>
  <c r="J80" i="7" s="1"/>
  <c r="I76" i="7"/>
  <c r="J76" i="7" s="1"/>
  <c r="I75" i="7"/>
  <c r="J75" i="7" s="1"/>
  <c r="I71" i="7"/>
  <c r="J71" i="7" s="1"/>
  <c r="I69" i="7"/>
  <c r="J69" i="7" s="1"/>
  <c r="I44" i="7"/>
  <c r="J44" i="7" s="1"/>
  <c r="I43" i="7"/>
  <c r="J43" i="7" s="1"/>
  <c r="I39" i="7"/>
  <c r="J39" i="7" s="1"/>
  <c r="I38" i="7"/>
  <c r="I33" i="7"/>
  <c r="J33" i="7" s="1"/>
  <c r="I31" i="7"/>
  <c r="J31" i="7" s="1"/>
  <c r="I27" i="7"/>
  <c r="J27" i="7" s="1"/>
  <c r="I26" i="7"/>
  <c r="J26" i="7" s="1"/>
  <c r="I25" i="7"/>
  <c r="J25" i="7" s="1"/>
  <c r="I21" i="7"/>
  <c r="I18" i="7"/>
  <c r="I15" i="7"/>
  <c r="J15" i="7" s="1"/>
  <c r="I8" i="7"/>
  <c r="J8" i="7" s="1"/>
  <c r="I64" i="7" l="1"/>
  <c r="J64" i="7" s="1"/>
  <c r="N32" i="6"/>
  <c r="I65" i="7"/>
  <c r="J65" i="7" s="1"/>
  <c r="I17" i="7"/>
  <c r="J18" i="7"/>
  <c r="I24" i="7"/>
  <c r="I37" i="7"/>
  <c r="J38" i="7"/>
  <c r="J21" i="7"/>
  <c r="I20" i="7"/>
  <c r="E41" i="6"/>
  <c r="G41" i="6" s="1"/>
  <c r="E35" i="6"/>
  <c r="I86" i="7"/>
  <c r="J86" i="7" s="1"/>
  <c r="E1926" i="17"/>
  <c r="C83" i="7"/>
  <c r="I79" i="7" l="1"/>
  <c r="J79" i="7" s="1"/>
  <c r="F77" i="7"/>
  <c r="J24" i="7"/>
  <c r="I23" i="7"/>
  <c r="G35" i="6"/>
  <c r="E34" i="6"/>
  <c r="G34" i="6" s="1"/>
  <c r="L34" i="6" l="1"/>
  <c r="F67" i="7"/>
  <c r="C77" i="7"/>
  <c r="C67" i="7" l="1"/>
  <c r="E43" i="6"/>
  <c r="E40" i="6" s="1"/>
  <c r="E45" i="6" l="1"/>
  <c r="G45" i="6" s="1"/>
  <c r="C27" i="12" l="1"/>
  <c r="C20" i="12"/>
  <c r="E20" i="12" s="1"/>
  <c r="I20" i="12" s="1"/>
  <c r="J20" i="12" s="1"/>
  <c r="C76" i="12"/>
  <c r="C25" i="12" l="1"/>
  <c r="E50" i="6" l="1"/>
  <c r="E49" i="6" s="1"/>
  <c r="C7" i="12" l="1"/>
  <c r="C46" i="7"/>
  <c r="E46" i="7" s="1"/>
  <c r="C6" i="12" l="1"/>
  <c r="C5" i="12" s="1"/>
  <c r="C45" i="7"/>
  <c r="E45" i="7" s="1"/>
  <c r="F50" i="6" l="1"/>
  <c r="G50" i="6" s="1"/>
  <c r="C41" i="7"/>
  <c r="E28" i="6" l="1"/>
  <c r="E26" i="6" s="1"/>
  <c r="C35" i="7"/>
  <c r="C87" i="12"/>
  <c r="D1017" i="17"/>
  <c r="J1017" i="17" s="1"/>
  <c r="K1017" i="17" s="1"/>
  <c r="D1004" i="17"/>
  <c r="J1004" i="17" s="1"/>
  <c r="K1004" i="17" s="1"/>
  <c r="D992" i="17"/>
  <c r="J992" i="17" s="1"/>
  <c r="K992" i="17" s="1"/>
  <c r="D990" i="17"/>
  <c r="J990" i="17" s="1"/>
  <c r="K990" i="17" s="1"/>
  <c r="C20" i="7"/>
  <c r="H992" i="17" l="1"/>
  <c r="L992" i="17" s="1"/>
  <c r="M992" i="17" s="1"/>
  <c r="H990" i="17"/>
  <c r="L990" i="17" s="1"/>
  <c r="M990" i="17" s="1"/>
  <c r="H1017" i="17"/>
  <c r="L1017" i="17" s="1"/>
  <c r="M1017" i="17" s="1"/>
  <c r="H1004" i="17"/>
  <c r="L1004" i="17" s="1"/>
  <c r="M1004" i="17" s="1"/>
  <c r="E16" i="6"/>
  <c r="C13" i="7"/>
  <c r="C93" i="7" s="1"/>
  <c r="G16" i="6" l="1"/>
  <c r="E13" i="6"/>
  <c r="B6" i="4"/>
  <c r="E6" i="4" l="1"/>
  <c r="I6" i="4" s="1"/>
  <c r="J6" i="4" s="1"/>
  <c r="G6" i="4"/>
  <c r="H6" i="4" s="1"/>
  <c r="B5" i="4"/>
  <c r="G5" i="4" s="1"/>
  <c r="H5" i="4" s="1"/>
  <c r="G13" i="6"/>
  <c r="E7" i="6"/>
  <c r="E5" i="4" l="1"/>
  <c r="I5" i="4" s="1"/>
  <c r="J5" i="4" s="1"/>
  <c r="G7" i="6"/>
  <c r="E47" i="6"/>
  <c r="C55" i="12"/>
  <c r="E785" i="4" l="1"/>
  <c r="I785" i="4" s="1"/>
  <c r="J785" i="4" s="1"/>
  <c r="E55" i="6"/>
  <c r="C54" i="12"/>
  <c r="C138" i="12" s="1"/>
  <c r="F52" i="6"/>
  <c r="G52" i="6" l="1"/>
  <c r="F49" i="6"/>
  <c r="E457" i="17"/>
  <c r="G49" i="6" l="1"/>
  <c r="B219" i="4" l="1"/>
  <c r="G219" i="4" s="1"/>
  <c r="H219" i="4" s="1"/>
  <c r="B215" i="4"/>
  <c r="G215" i="4" s="1"/>
  <c r="H215" i="4" s="1"/>
  <c r="B239" i="4"/>
  <c r="G239" i="4" s="1"/>
  <c r="H239" i="4" s="1"/>
  <c r="E219" i="4" l="1"/>
  <c r="I219" i="4" s="1"/>
  <c r="J219" i="4" s="1"/>
  <c r="E239" i="4"/>
  <c r="I239" i="4" s="1"/>
  <c r="J239" i="4" s="1"/>
  <c r="E215" i="4"/>
  <c r="I215" i="4" s="1"/>
  <c r="J215" i="4" s="1"/>
  <c r="F7" i="11"/>
  <c r="F10" i="11"/>
  <c r="I11" i="7"/>
  <c r="E1683" i="17" l="1"/>
  <c r="E1899" i="17" s="1"/>
  <c r="E1709" i="17"/>
  <c r="E1677" i="17" s="1"/>
  <c r="E1682" i="17" s="1"/>
  <c r="E1866" i="17" s="1"/>
  <c r="E1630" i="17"/>
  <c r="E1898" i="17" s="1"/>
  <c r="E1655" i="17"/>
  <c r="E1625" i="17" s="1"/>
  <c r="E1629" i="17" s="1"/>
  <c r="E1865" i="17" s="1"/>
  <c r="E1559" i="17"/>
  <c r="E1897" i="17" s="1"/>
  <c r="E1599" i="17"/>
  <c r="E1553" i="17" s="1"/>
  <c r="E1558" i="17" s="1"/>
  <c r="E1864" i="17" s="1"/>
  <c r="E1497" i="17"/>
  <c r="E1896" i="17" s="1"/>
  <c r="E1523" i="17"/>
  <c r="E1492" i="17" s="1"/>
  <c r="E1496" i="17" s="1"/>
  <c r="E1863" i="17" s="1"/>
  <c r="E1464" i="17"/>
  <c r="E1426" i="17"/>
  <c r="E1895" i="17" s="1"/>
  <c r="E1444" i="17"/>
  <c r="E1395" i="17"/>
  <c r="E1369" i="17" s="1"/>
  <c r="E1373" i="17" s="1"/>
  <c r="E1374" i="17"/>
  <c r="E1894" i="17" s="1"/>
  <c r="E1291" i="17"/>
  <c r="E1893" i="17" s="1"/>
  <c r="E1322" i="17"/>
  <c r="E1284" i="17" s="1"/>
  <c r="E1290" i="17" s="1"/>
  <c r="E1234" i="17"/>
  <c r="E1892" i="17" s="1"/>
  <c r="E1260" i="17"/>
  <c r="E1229" i="17" s="1"/>
  <c r="E1233" i="17" s="1"/>
  <c r="E1859" i="17" s="1"/>
  <c r="E1371" i="17" l="1"/>
  <c r="E1861" i="17"/>
  <c r="E1286" i="17"/>
  <c r="E1860" i="17"/>
  <c r="E1679" i="17"/>
  <c r="E1420" i="17"/>
  <c r="E1425" i="17" s="1"/>
  <c r="E1862" i="17" s="1"/>
  <c r="E1627" i="17"/>
  <c r="E1555" i="17"/>
  <c r="E1494" i="17"/>
  <c r="E1886" i="17"/>
  <c r="E1231" i="17"/>
  <c r="E1900" i="17" l="1"/>
  <c r="E1852" i="17"/>
  <c r="E1760" i="17"/>
  <c r="E1422" i="17"/>
  <c r="E1867" i="17" l="1"/>
  <c r="E1876" i="17" l="1"/>
  <c r="D978" i="17" l="1"/>
  <c r="J978" i="17" s="1"/>
  <c r="K978" i="17" s="1"/>
  <c r="H978" i="17" l="1"/>
  <c r="L978" i="17" s="1"/>
  <c r="M978" i="17" s="1"/>
  <c r="D1888" i="17"/>
  <c r="D1559" i="17"/>
  <c r="D1497" i="17"/>
  <c r="D1426" i="17"/>
  <c r="D1374" i="17"/>
  <c r="D1291" i="17"/>
  <c r="D1234" i="17"/>
  <c r="D1209" i="17"/>
  <c r="J1209" i="17" s="1"/>
  <c r="K1209" i="17" s="1"/>
  <c r="D303" i="17"/>
  <c r="D1881" i="17"/>
  <c r="H303" i="17" l="1"/>
  <c r="L303" i="17" s="1"/>
  <c r="M303" i="17" s="1"/>
  <c r="J303" i="17"/>
  <c r="K303" i="17" s="1"/>
  <c r="H1374" i="17"/>
  <c r="L1374" i="17" s="1"/>
  <c r="M1374" i="17" s="1"/>
  <c r="J1374" i="17"/>
  <c r="K1374" i="17" s="1"/>
  <c r="H1497" i="17"/>
  <c r="L1497" i="17" s="1"/>
  <c r="M1497" i="17" s="1"/>
  <c r="J1497" i="17"/>
  <c r="K1497" i="17" s="1"/>
  <c r="H1888" i="17"/>
  <c r="L1888" i="17" s="1"/>
  <c r="M1888" i="17" s="1"/>
  <c r="J1888" i="17"/>
  <c r="K1888" i="17" s="1"/>
  <c r="H1234" i="17"/>
  <c r="L1234" i="17" s="1"/>
  <c r="M1234" i="17" s="1"/>
  <c r="J1234" i="17"/>
  <c r="K1234" i="17" s="1"/>
  <c r="H1881" i="17"/>
  <c r="L1881" i="17" s="1"/>
  <c r="M1881" i="17" s="1"/>
  <c r="J1881" i="17"/>
  <c r="K1881" i="17" s="1"/>
  <c r="H1291" i="17"/>
  <c r="L1291" i="17" s="1"/>
  <c r="M1291" i="17" s="1"/>
  <c r="J1291" i="17"/>
  <c r="K1291" i="17" s="1"/>
  <c r="H1426" i="17"/>
  <c r="L1426" i="17" s="1"/>
  <c r="M1426" i="17" s="1"/>
  <c r="J1426" i="17"/>
  <c r="K1426" i="17" s="1"/>
  <c r="H1559" i="17"/>
  <c r="L1559" i="17" s="1"/>
  <c r="M1559" i="17" s="1"/>
  <c r="J1559" i="17"/>
  <c r="K1559" i="17" s="1"/>
  <c r="H1209" i="17"/>
  <c r="L1209" i="17" s="1"/>
  <c r="M1209" i="17" s="1"/>
  <c r="D1892" i="17"/>
  <c r="D1893" i="17"/>
  <c r="D1896" i="17"/>
  <c r="D1894" i="17"/>
  <c r="D1897" i="17"/>
  <c r="D1895" i="17"/>
  <c r="D1883" i="17"/>
  <c r="D1891" i="17"/>
  <c r="D1873" i="17"/>
  <c r="D1875" i="17"/>
  <c r="D1872" i="17"/>
  <c r="D1871" i="17"/>
  <c r="D1870" i="17"/>
  <c r="D1869" i="17"/>
  <c r="D1841" i="17"/>
  <c r="D1840" i="17"/>
  <c r="D1838" i="17"/>
  <c r="D1837" i="17"/>
  <c r="D1836" i="17"/>
  <c r="D1835" i="17"/>
  <c r="D1834" i="17"/>
  <c r="H1834" i="17" l="1"/>
  <c r="L1834" i="17" s="1"/>
  <c r="M1834" i="17" s="1"/>
  <c r="J1834" i="17"/>
  <c r="K1834" i="17" s="1"/>
  <c r="H1836" i="17"/>
  <c r="L1836" i="17" s="1"/>
  <c r="M1836" i="17" s="1"/>
  <c r="J1836" i="17"/>
  <c r="K1836" i="17" s="1"/>
  <c r="H1838" i="17"/>
  <c r="L1838" i="17" s="1"/>
  <c r="M1838" i="17" s="1"/>
  <c r="J1838" i="17"/>
  <c r="K1838" i="17" s="1"/>
  <c r="H1841" i="17"/>
  <c r="L1841" i="17" s="1"/>
  <c r="M1841" i="17" s="1"/>
  <c r="J1841" i="17"/>
  <c r="K1841" i="17" s="1"/>
  <c r="H1870" i="17"/>
  <c r="L1870" i="17" s="1"/>
  <c r="M1870" i="17" s="1"/>
  <c r="J1870" i="17"/>
  <c r="K1870" i="17" s="1"/>
  <c r="H1872" i="17"/>
  <c r="L1872" i="17" s="1"/>
  <c r="M1872" i="17" s="1"/>
  <c r="J1872" i="17"/>
  <c r="K1872" i="17" s="1"/>
  <c r="H1873" i="17"/>
  <c r="L1873" i="17" s="1"/>
  <c r="M1873" i="17" s="1"/>
  <c r="J1873" i="17"/>
  <c r="K1873" i="17" s="1"/>
  <c r="H1883" i="17"/>
  <c r="L1883" i="17" s="1"/>
  <c r="M1883" i="17" s="1"/>
  <c r="J1883" i="17"/>
  <c r="K1883" i="17" s="1"/>
  <c r="H1897" i="17"/>
  <c r="L1897" i="17" s="1"/>
  <c r="M1897" i="17" s="1"/>
  <c r="J1897" i="17"/>
  <c r="K1897" i="17" s="1"/>
  <c r="H1896" i="17"/>
  <c r="L1896" i="17" s="1"/>
  <c r="M1896" i="17" s="1"/>
  <c r="J1896" i="17"/>
  <c r="K1896" i="17" s="1"/>
  <c r="H1892" i="17"/>
  <c r="L1892" i="17" s="1"/>
  <c r="M1892" i="17" s="1"/>
  <c r="J1892" i="17"/>
  <c r="K1892" i="17" s="1"/>
  <c r="H1835" i="17"/>
  <c r="L1835" i="17" s="1"/>
  <c r="M1835" i="17" s="1"/>
  <c r="J1835" i="17"/>
  <c r="K1835" i="17" s="1"/>
  <c r="H1837" i="17"/>
  <c r="L1837" i="17" s="1"/>
  <c r="M1837" i="17" s="1"/>
  <c r="J1837" i="17"/>
  <c r="K1837" i="17" s="1"/>
  <c r="H1840" i="17"/>
  <c r="L1840" i="17" s="1"/>
  <c r="M1840" i="17" s="1"/>
  <c r="J1840" i="17"/>
  <c r="K1840" i="17" s="1"/>
  <c r="H1869" i="17"/>
  <c r="L1869" i="17" s="1"/>
  <c r="M1869" i="17" s="1"/>
  <c r="J1869" i="17"/>
  <c r="K1869" i="17" s="1"/>
  <c r="H1871" i="17"/>
  <c r="L1871" i="17" s="1"/>
  <c r="M1871" i="17" s="1"/>
  <c r="J1871" i="17"/>
  <c r="K1871" i="17" s="1"/>
  <c r="H1875" i="17"/>
  <c r="L1875" i="17" s="1"/>
  <c r="M1875" i="17" s="1"/>
  <c r="J1875" i="17"/>
  <c r="K1875" i="17" s="1"/>
  <c r="H1891" i="17"/>
  <c r="L1891" i="17" s="1"/>
  <c r="M1891" i="17" s="1"/>
  <c r="J1891" i="17"/>
  <c r="K1891" i="17" s="1"/>
  <c r="H1895" i="17"/>
  <c r="L1895" i="17" s="1"/>
  <c r="M1895" i="17" s="1"/>
  <c r="J1895" i="17"/>
  <c r="K1895" i="17" s="1"/>
  <c r="H1894" i="17"/>
  <c r="L1894" i="17" s="1"/>
  <c r="M1894" i="17" s="1"/>
  <c r="J1894" i="17"/>
  <c r="K1894" i="17" s="1"/>
  <c r="H1893" i="17"/>
  <c r="L1893" i="17" s="1"/>
  <c r="M1893" i="17" s="1"/>
  <c r="J1893" i="17"/>
  <c r="K1893" i="17" s="1"/>
  <c r="D1806" i="17"/>
  <c r="D1803" i="17"/>
  <c r="D1802" i="17"/>
  <c r="D1801" i="17"/>
  <c r="D1800" i="17"/>
  <c r="D1799" i="17"/>
  <c r="H1800" i="17" l="1"/>
  <c r="L1800" i="17" s="1"/>
  <c r="M1800" i="17" s="1"/>
  <c r="J1800" i="17"/>
  <c r="K1800" i="17" s="1"/>
  <c r="H1799" i="17"/>
  <c r="L1799" i="17" s="1"/>
  <c r="M1799" i="17" s="1"/>
  <c r="J1799" i="17"/>
  <c r="K1799" i="17" s="1"/>
  <c r="H1801" i="17"/>
  <c r="L1801" i="17" s="1"/>
  <c r="M1801" i="17" s="1"/>
  <c r="J1801" i="17"/>
  <c r="K1801" i="17" s="1"/>
  <c r="H1803" i="17"/>
  <c r="L1803" i="17" s="1"/>
  <c r="M1803" i="17" s="1"/>
  <c r="J1803" i="17"/>
  <c r="K1803" i="17" s="1"/>
  <c r="H1802" i="17"/>
  <c r="L1802" i="17" s="1"/>
  <c r="M1802" i="17" s="1"/>
  <c r="J1802" i="17"/>
  <c r="K1802" i="17" s="1"/>
  <c r="H1806" i="17"/>
  <c r="L1806" i="17" s="1"/>
  <c r="M1806" i="17" s="1"/>
  <c r="J1806" i="17"/>
  <c r="K1806" i="17" s="1"/>
  <c r="D549" i="17"/>
  <c r="J549" i="17" s="1"/>
  <c r="K549" i="17" s="1"/>
  <c r="H549" i="17" l="1"/>
  <c r="L549" i="17" s="1"/>
  <c r="M549" i="17" s="1"/>
  <c r="B375" i="4"/>
  <c r="B373" i="4"/>
  <c r="E373" i="4" l="1"/>
  <c r="I373" i="4" s="1"/>
  <c r="J373" i="4" s="1"/>
  <c r="E375" i="4"/>
  <c r="I375" i="4" s="1"/>
  <c r="J375" i="4" s="1"/>
  <c r="D944" i="17"/>
  <c r="D937" i="17"/>
  <c r="H937" i="17" l="1"/>
  <c r="L937" i="17" s="1"/>
  <c r="M937" i="17" s="1"/>
  <c r="J937" i="17"/>
  <c r="K937" i="17" s="1"/>
  <c r="H944" i="17"/>
  <c r="L944" i="17" s="1"/>
  <c r="M944" i="17" s="1"/>
  <c r="J944" i="17"/>
  <c r="K944" i="17" s="1"/>
  <c r="D935" i="17"/>
  <c r="H935" i="17" l="1"/>
  <c r="L935" i="17" s="1"/>
  <c r="M935" i="17" s="1"/>
  <c r="J935" i="17"/>
  <c r="K935" i="17" s="1"/>
  <c r="D925" i="17"/>
  <c r="H925" i="17" l="1"/>
  <c r="L925" i="17" s="1"/>
  <c r="M925" i="17" s="1"/>
  <c r="J925" i="17"/>
  <c r="K925" i="17" s="1"/>
  <c r="D1887" i="17"/>
  <c r="H1887" i="17" l="1"/>
  <c r="L1887" i="17" s="1"/>
  <c r="M1887" i="17" s="1"/>
  <c r="J1887" i="17"/>
  <c r="K1887" i="17" s="1"/>
  <c r="D1712" i="17"/>
  <c r="J1712" i="17" s="1"/>
  <c r="K1712" i="17" s="1"/>
  <c r="H1712" i="17" l="1"/>
  <c r="L1712" i="17" s="1"/>
  <c r="M1712" i="17" s="1"/>
  <c r="D1683" i="17"/>
  <c r="J1683" i="17" s="1"/>
  <c r="K1683" i="17" s="1"/>
  <c r="H1683" i="17" l="1"/>
  <c r="L1683" i="17" s="1"/>
  <c r="M1683" i="17" s="1"/>
  <c r="D1899" i="17"/>
  <c r="D1106" i="17"/>
  <c r="J1106" i="17" s="1"/>
  <c r="K1106" i="17" s="1"/>
  <c r="H1899" i="17" l="1"/>
  <c r="L1899" i="17" s="1"/>
  <c r="M1899" i="17" s="1"/>
  <c r="J1899" i="17"/>
  <c r="K1899" i="17" s="1"/>
  <c r="H1106" i="17"/>
  <c r="L1106" i="17" s="1"/>
  <c r="M1106" i="17" s="1"/>
  <c r="D1743" i="17"/>
  <c r="J1743" i="17" s="1"/>
  <c r="K1743" i="17" s="1"/>
  <c r="H1743" i="17" l="1"/>
  <c r="L1743" i="17" s="1"/>
  <c r="M1743" i="17" s="1"/>
  <c r="D1833" i="17"/>
  <c r="D1868" i="17"/>
  <c r="D1797" i="17"/>
  <c r="D1262" i="17"/>
  <c r="J1262" i="17" s="1"/>
  <c r="K1262" i="17" s="1"/>
  <c r="H1797" i="17" l="1"/>
  <c r="L1797" i="17" s="1"/>
  <c r="M1797" i="17" s="1"/>
  <c r="J1797" i="17"/>
  <c r="K1797" i="17" s="1"/>
  <c r="H1833" i="17"/>
  <c r="L1833" i="17" s="1"/>
  <c r="M1833" i="17" s="1"/>
  <c r="J1833" i="17"/>
  <c r="K1833" i="17" s="1"/>
  <c r="H1868" i="17"/>
  <c r="L1868" i="17" s="1"/>
  <c r="M1868" i="17" s="1"/>
  <c r="J1868" i="17"/>
  <c r="K1868" i="17" s="1"/>
  <c r="H1262" i="17"/>
  <c r="L1262" i="17" s="1"/>
  <c r="M1262" i="17" s="1"/>
  <c r="D593" i="17" l="1"/>
  <c r="J593" i="17" s="1"/>
  <c r="K593" i="17" s="1"/>
  <c r="D584" i="17"/>
  <c r="J584" i="17" s="1"/>
  <c r="K584" i="17" s="1"/>
  <c r="D570" i="17"/>
  <c r="J570" i="17" s="1"/>
  <c r="K570" i="17" s="1"/>
  <c r="H584" i="17" l="1"/>
  <c r="L584" i="17" s="1"/>
  <c r="M584" i="17" s="1"/>
  <c r="H570" i="17"/>
  <c r="L570" i="17" s="1"/>
  <c r="M570" i="17" s="1"/>
  <c r="H593" i="17"/>
  <c r="L593" i="17" s="1"/>
  <c r="M593" i="17" s="1"/>
  <c r="B32" i="6"/>
  <c r="D32" i="6" s="1"/>
  <c r="K32" i="6" l="1"/>
  <c r="O32" i="6"/>
  <c r="P32" i="6" s="1"/>
  <c r="Q32" i="6"/>
  <c r="R32" i="6" s="1"/>
  <c r="D573" i="17"/>
  <c r="J573" i="17" s="1"/>
  <c r="K573" i="17" s="1"/>
  <c r="D600" i="17"/>
  <c r="J600" i="17" s="1"/>
  <c r="K600" i="17" s="1"/>
  <c r="H573" i="17" l="1"/>
  <c r="L573" i="17" s="1"/>
  <c r="M573" i="17" s="1"/>
  <c r="H600" i="17"/>
  <c r="L600" i="17" s="1"/>
  <c r="M600" i="17" s="1"/>
  <c r="D569" i="17"/>
  <c r="J569" i="17" s="1"/>
  <c r="K569" i="17" s="1"/>
  <c r="D14" i="17"/>
  <c r="J14" i="17" s="1"/>
  <c r="K14" i="17" s="1"/>
  <c r="D15" i="17"/>
  <c r="J15" i="17" s="1"/>
  <c r="K15" i="17" s="1"/>
  <c r="H14" i="17" l="1"/>
  <c r="L14" i="17" s="1"/>
  <c r="M14" i="17" s="1"/>
  <c r="H15" i="17"/>
  <c r="L15" i="17" s="1"/>
  <c r="M15" i="17" s="1"/>
  <c r="H569" i="17"/>
  <c r="L569" i="17" s="1"/>
  <c r="M569" i="17" s="1"/>
  <c r="D12" i="17"/>
  <c r="J12" i="17" s="1"/>
  <c r="K12" i="17" s="1"/>
  <c r="H12" i="17" l="1"/>
  <c r="L12" i="17" s="1"/>
  <c r="M12" i="17" s="1"/>
  <c r="D1880" i="17"/>
  <c r="H1880" i="17" l="1"/>
  <c r="L1880" i="17" s="1"/>
  <c r="M1880" i="17" s="1"/>
  <c r="J1880" i="17"/>
  <c r="K1880" i="17" s="1"/>
  <c r="B98" i="12"/>
  <c r="G98" i="12" s="1"/>
  <c r="H98" i="12" s="1"/>
  <c r="B43" i="12"/>
  <c r="B57" i="12"/>
  <c r="G57" i="12" s="1"/>
  <c r="H57" i="12" s="1"/>
  <c r="B43" i="4"/>
  <c r="G43" i="4" s="1"/>
  <c r="H43" i="4" s="1"/>
  <c r="B37" i="4"/>
  <c r="G37" i="4" s="1"/>
  <c r="H37" i="4" s="1"/>
  <c r="B34" i="4"/>
  <c r="G34" i="4" s="1"/>
  <c r="H34" i="4" s="1"/>
  <c r="B30" i="4"/>
  <c r="G30" i="4" s="1"/>
  <c r="H30" i="4" s="1"/>
  <c r="B28" i="4"/>
  <c r="G28" i="4" s="1"/>
  <c r="H28" i="4" s="1"/>
  <c r="B16" i="4"/>
  <c r="B12" i="4"/>
  <c r="E43" i="12" l="1"/>
  <c r="I43" i="12" s="1"/>
  <c r="J43" i="12" s="1"/>
  <c r="G43" i="12"/>
  <c r="H43" i="12" s="1"/>
  <c r="E12" i="4"/>
  <c r="I12" i="4" s="1"/>
  <c r="J12" i="4" s="1"/>
  <c r="G12" i="4"/>
  <c r="H12" i="4" s="1"/>
  <c r="E16" i="4"/>
  <c r="F16" i="4" s="1"/>
  <c r="E28" i="4"/>
  <c r="I28" i="4" s="1"/>
  <c r="J28" i="4" s="1"/>
  <c r="E34" i="4"/>
  <c r="I34" i="4" s="1"/>
  <c r="J34" i="4" s="1"/>
  <c r="E43" i="4"/>
  <c r="I43" i="4" s="1"/>
  <c r="J43" i="4" s="1"/>
  <c r="E30" i="4"/>
  <c r="I30" i="4" s="1"/>
  <c r="J30" i="4" s="1"/>
  <c r="E37" i="4"/>
  <c r="I37" i="4" s="1"/>
  <c r="J37" i="4" s="1"/>
  <c r="E57" i="12"/>
  <c r="I57" i="12" s="1"/>
  <c r="J57" i="12" s="1"/>
  <c r="E98" i="12"/>
  <c r="I98" i="12" s="1"/>
  <c r="J98" i="12" s="1"/>
  <c r="B15" i="4"/>
  <c r="B23" i="4"/>
  <c r="G23" i="4" s="1"/>
  <c r="H23" i="4" s="1"/>
  <c r="B42" i="4"/>
  <c r="G42" i="4" s="1"/>
  <c r="H42" i="4" s="1"/>
  <c r="B11" i="4"/>
  <c r="B33" i="4"/>
  <c r="G33" i="4" s="1"/>
  <c r="H33" i="4" s="1"/>
  <c r="E11" i="4" l="1"/>
  <c r="I11" i="4" s="1"/>
  <c r="J11" i="4" s="1"/>
  <c r="G11" i="4"/>
  <c r="H11" i="4" s="1"/>
  <c r="G16" i="4"/>
  <c r="H16" i="4" s="1"/>
  <c r="I16" i="4"/>
  <c r="J16" i="4" s="1"/>
  <c r="E23" i="4"/>
  <c r="I23" i="4" s="1"/>
  <c r="J23" i="4" s="1"/>
  <c r="E33" i="4"/>
  <c r="I33" i="4" s="1"/>
  <c r="J33" i="4" s="1"/>
  <c r="E42" i="4"/>
  <c r="I42" i="4" s="1"/>
  <c r="J42" i="4" s="1"/>
  <c r="E15" i="4"/>
  <c r="F15" i="4" s="1"/>
  <c r="B20" i="4"/>
  <c r="G20" i="4" s="1"/>
  <c r="H20" i="4" s="1"/>
  <c r="B10" i="4"/>
  <c r="G15" i="4" l="1"/>
  <c r="H15" i="4" s="1"/>
  <c r="I15" i="4"/>
  <c r="J15" i="4" s="1"/>
  <c r="D30" i="17"/>
  <c r="J30" i="17" s="1"/>
  <c r="K30" i="17" s="1"/>
  <c r="E10" i="4"/>
  <c r="E786" i="4" s="1"/>
  <c r="E20" i="4"/>
  <c r="I20" i="4" s="1"/>
  <c r="J20" i="4" s="1"/>
  <c r="F10" i="4"/>
  <c r="B19" i="4"/>
  <c r="G19" i="4" s="1"/>
  <c r="H19" i="4" s="1"/>
  <c r="B786" i="4"/>
  <c r="F786" i="4" l="1"/>
  <c r="G10" i="4"/>
  <c r="H10" i="4" s="1"/>
  <c r="I10" i="4"/>
  <c r="J10" i="4" s="1"/>
  <c r="E19" i="4"/>
  <c r="H30" i="17"/>
  <c r="L30" i="17" s="1"/>
  <c r="M30" i="17" s="1"/>
  <c r="D31" i="17"/>
  <c r="F805" i="4"/>
  <c r="F782" i="4"/>
  <c r="D1905" i="17"/>
  <c r="B787" i="4"/>
  <c r="G787" i="4" s="1"/>
  <c r="H787" i="4" s="1"/>
  <c r="D1882" i="17"/>
  <c r="H31" i="17" l="1"/>
  <c r="L31" i="17" s="1"/>
  <c r="M31" i="17" s="1"/>
  <c r="J31" i="17"/>
  <c r="K31" i="17" s="1"/>
  <c r="H1882" i="17"/>
  <c r="L1882" i="17" s="1"/>
  <c r="M1882" i="17" s="1"/>
  <c r="J1882" i="17"/>
  <c r="K1882" i="17" s="1"/>
  <c r="H1905" i="17"/>
  <c r="L1905" i="17" s="1"/>
  <c r="M1905" i="17" s="1"/>
  <c r="J1905" i="17"/>
  <c r="K1905" i="17" s="1"/>
  <c r="E787" i="4"/>
  <c r="I787" i="4" s="1"/>
  <c r="J787" i="4" s="1"/>
  <c r="I19" i="4"/>
  <c r="J19" i="4" s="1"/>
  <c r="I786" i="4"/>
  <c r="J786" i="4" s="1"/>
  <c r="G786" i="4"/>
  <c r="H786" i="4" s="1"/>
  <c r="D29" i="17"/>
  <c r="D1906" i="17"/>
  <c r="D1846" i="17"/>
  <c r="H1906" i="17" l="1"/>
  <c r="L1906" i="17" s="1"/>
  <c r="M1906" i="17" s="1"/>
  <c r="J1906" i="17"/>
  <c r="K1906" i="17" s="1"/>
  <c r="H1846" i="17"/>
  <c r="L1846" i="17" s="1"/>
  <c r="M1846" i="17" s="1"/>
  <c r="J1846" i="17"/>
  <c r="K1846" i="17" s="1"/>
  <c r="H29" i="17"/>
  <c r="L29" i="17" s="1"/>
  <c r="M29" i="17" s="1"/>
  <c r="J29" i="17"/>
  <c r="K29" i="17" s="1"/>
  <c r="B374" i="4"/>
  <c r="E374" i="4" l="1"/>
  <c r="I374" i="4" s="1"/>
  <c r="J374" i="4" s="1"/>
  <c r="G31" i="5"/>
  <c r="H31" i="5" s="1"/>
  <c r="G27" i="5"/>
  <c r="H27" i="5" s="1"/>
  <c r="G28" i="5"/>
  <c r="H28" i="5" s="1"/>
  <c r="G29" i="5"/>
  <c r="H29" i="5" s="1"/>
  <c r="G30" i="5"/>
  <c r="G36" i="5"/>
  <c r="H36" i="5" s="1"/>
  <c r="G47" i="5" l="1"/>
  <c r="H47" i="5" s="1"/>
  <c r="D1724" i="17"/>
  <c r="J1724" i="17" s="1"/>
  <c r="K1724" i="17" s="1"/>
  <c r="D1714" i="17"/>
  <c r="J1714" i="17" s="1"/>
  <c r="K1714" i="17" s="1"/>
  <c r="D1666" i="17"/>
  <c r="J1666" i="17" s="1"/>
  <c r="K1666" i="17" s="1"/>
  <c r="D1660" i="17"/>
  <c r="J1660" i="17" s="1"/>
  <c r="K1660" i="17" s="1"/>
  <c r="D1657" i="17"/>
  <c r="J1657" i="17" s="1"/>
  <c r="K1657" i="17" s="1"/>
  <c r="D1658" i="17"/>
  <c r="J1658" i="17" s="1"/>
  <c r="K1658" i="17" s="1"/>
  <c r="D1610" i="17"/>
  <c r="J1610" i="17" s="1"/>
  <c r="K1610" i="17" s="1"/>
  <c r="D1604" i="17"/>
  <c r="J1604" i="17" s="1"/>
  <c r="K1604" i="17" s="1"/>
  <c r="D1541" i="17"/>
  <c r="J1541" i="17" s="1"/>
  <c r="K1541" i="17" s="1"/>
  <c r="D1528" i="17"/>
  <c r="J1528" i="17" s="1"/>
  <c r="K1528" i="17" s="1"/>
  <c r="D1478" i="17"/>
  <c r="J1478" i="17" s="1"/>
  <c r="K1478" i="17" s="1"/>
  <c r="D1469" i="17"/>
  <c r="J1469" i="17" s="1"/>
  <c r="K1469" i="17" s="1"/>
  <c r="D1472" i="17"/>
  <c r="J1472" i="17" s="1"/>
  <c r="K1472" i="17" s="1"/>
  <c r="D1408" i="17"/>
  <c r="J1408" i="17" s="1"/>
  <c r="K1408" i="17" s="1"/>
  <c r="D1400" i="17"/>
  <c r="J1400" i="17" s="1"/>
  <c r="K1400" i="17" s="1"/>
  <c r="D1337" i="17"/>
  <c r="J1337" i="17" s="1"/>
  <c r="K1337" i="17" s="1"/>
  <c r="D1327" i="17"/>
  <c r="J1327" i="17" s="1"/>
  <c r="K1327" i="17" s="1"/>
  <c r="D1329" i="17"/>
  <c r="J1329" i="17" s="1"/>
  <c r="K1329" i="17" s="1"/>
  <c r="D1271" i="17"/>
  <c r="J1271" i="17" s="1"/>
  <c r="K1271" i="17" s="1"/>
  <c r="D1265" i="17"/>
  <c r="J1265" i="17" s="1"/>
  <c r="K1265" i="17" s="1"/>
  <c r="H1472" i="17" l="1"/>
  <c r="L1472" i="17" s="1"/>
  <c r="M1472" i="17" s="1"/>
  <c r="H1724" i="17"/>
  <c r="L1724" i="17" s="1"/>
  <c r="M1724" i="17" s="1"/>
  <c r="H1271" i="17"/>
  <c r="L1271" i="17" s="1"/>
  <c r="M1271" i="17" s="1"/>
  <c r="H1327" i="17"/>
  <c r="L1327" i="17" s="1"/>
  <c r="M1327" i="17" s="1"/>
  <c r="H1400" i="17"/>
  <c r="L1400" i="17" s="1"/>
  <c r="M1400" i="17" s="1"/>
  <c r="H1478" i="17"/>
  <c r="L1478" i="17" s="1"/>
  <c r="M1478" i="17" s="1"/>
  <c r="H1541" i="17"/>
  <c r="L1541" i="17" s="1"/>
  <c r="M1541" i="17" s="1"/>
  <c r="H1610" i="17"/>
  <c r="L1610" i="17" s="1"/>
  <c r="M1610" i="17" s="1"/>
  <c r="H1657" i="17"/>
  <c r="L1657" i="17" s="1"/>
  <c r="M1657" i="17" s="1"/>
  <c r="H1666" i="17"/>
  <c r="L1666" i="17" s="1"/>
  <c r="M1666" i="17" s="1"/>
  <c r="H1265" i="17"/>
  <c r="L1265" i="17" s="1"/>
  <c r="M1265" i="17" s="1"/>
  <c r="H1329" i="17"/>
  <c r="L1329" i="17" s="1"/>
  <c r="M1329" i="17" s="1"/>
  <c r="H1337" i="17"/>
  <c r="L1337" i="17" s="1"/>
  <c r="M1337" i="17" s="1"/>
  <c r="H1408" i="17"/>
  <c r="L1408" i="17" s="1"/>
  <c r="M1408" i="17" s="1"/>
  <c r="H1469" i="17"/>
  <c r="L1469" i="17" s="1"/>
  <c r="M1469" i="17" s="1"/>
  <c r="H1528" i="17"/>
  <c r="L1528" i="17" s="1"/>
  <c r="M1528" i="17" s="1"/>
  <c r="H1604" i="17"/>
  <c r="L1604" i="17" s="1"/>
  <c r="M1604" i="17" s="1"/>
  <c r="H1658" i="17"/>
  <c r="L1658" i="17" s="1"/>
  <c r="M1658" i="17" s="1"/>
  <c r="H1660" i="17"/>
  <c r="L1660" i="17" s="1"/>
  <c r="M1660" i="17" s="1"/>
  <c r="H1714" i="17"/>
  <c r="L1714" i="17" s="1"/>
  <c r="M1714" i="17" s="1"/>
  <c r="D1630" i="17"/>
  <c r="D1523" i="17"/>
  <c r="D1464" i="17"/>
  <c r="H1523" i="17" l="1"/>
  <c r="L1523" i="17" s="1"/>
  <c r="M1523" i="17" s="1"/>
  <c r="J1523" i="17"/>
  <c r="K1523" i="17" s="1"/>
  <c r="H1464" i="17"/>
  <c r="L1464" i="17" s="1"/>
  <c r="M1464" i="17" s="1"/>
  <c r="J1464" i="17"/>
  <c r="K1464" i="17" s="1"/>
  <c r="H1630" i="17"/>
  <c r="L1630" i="17" s="1"/>
  <c r="M1630" i="17" s="1"/>
  <c r="J1630" i="17"/>
  <c r="K1630" i="17" s="1"/>
  <c r="D1898" i="17"/>
  <c r="H1898" i="17" l="1"/>
  <c r="L1898" i="17" s="1"/>
  <c r="M1898" i="17" s="1"/>
  <c r="J1898" i="17"/>
  <c r="K1898" i="17" s="1"/>
  <c r="D308" i="17"/>
  <c r="H308" i="17" l="1"/>
  <c r="L308" i="17" s="1"/>
  <c r="M308" i="17" s="1"/>
  <c r="J308" i="17"/>
  <c r="K308" i="17" s="1"/>
  <c r="D297" i="17"/>
  <c r="D537" i="17"/>
  <c r="J537" i="17" s="1"/>
  <c r="K537" i="17" s="1"/>
  <c r="D471" i="17"/>
  <c r="J471" i="17" s="1"/>
  <c r="K471" i="17" s="1"/>
  <c r="H297" i="17" l="1"/>
  <c r="L297" i="17" s="1"/>
  <c r="M297" i="17" s="1"/>
  <c r="J297" i="17"/>
  <c r="K297" i="17" s="1"/>
  <c r="H471" i="17"/>
  <c r="L471" i="17" s="1"/>
  <c r="M471" i="17" s="1"/>
  <c r="H537" i="17"/>
  <c r="L537" i="17" s="1"/>
  <c r="M537" i="17" s="1"/>
  <c r="D519" i="17"/>
  <c r="J519" i="17" s="1"/>
  <c r="K519" i="17" s="1"/>
  <c r="D449" i="17"/>
  <c r="J449" i="17" s="1"/>
  <c r="K449" i="17" s="1"/>
  <c r="D508" i="17"/>
  <c r="J508" i="17" s="1"/>
  <c r="K508" i="17" s="1"/>
  <c r="D507" i="17"/>
  <c r="J507" i="17" s="1"/>
  <c r="K507" i="17" s="1"/>
  <c r="D502" i="17"/>
  <c r="J502" i="17" s="1"/>
  <c r="K502" i="17" s="1"/>
  <c r="D484" i="17"/>
  <c r="J484" i="17" s="1"/>
  <c r="K484" i="17" s="1"/>
  <c r="D483" i="17"/>
  <c r="J483" i="17" s="1"/>
  <c r="K483" i="17" s="1"/>
  <c r="D457" i="17"/>
  <c r="J457" i="17" s="1"/>
  <c r="K457" i="17" s="1"/>
  <c r="H449" i="17" l="1"/>
  <c r="L449" i="17" s="1"/>
  <c r="M449" i="17" s="1"/>
  <c r="H483" i="17"/>
  <c r="L483" i="17" s="1"/>
  <c r="M483" i="17" s="1"/>
  <c r="H508" i="17"/>
  <c r="L508" i="17" s="1"/>
  <c r="M508" i="17" s="1"/>
  <c r="H484" i="17"/>
  <c r="L484" i="17" s="1"/>
  <c r="M484" i="17" s="1"/>
  <c r="H502" i="17"/>
  <c r="L502" i="17" s="1"/>
  <c r="M502" i="17" s="1"/>
  <c r="H519" i="17"/>
  <c r="L519" i="17" s="1"/>
  <c r="M519" i="17" s="1"/>
  <c r="H457" i="17"/>
  <c r="L457" i="17" s="1"/>
  <c r="M457" i="17" s="1"/>
  <c r="H507" i="17"/>
  <c r="L507" i="17" s="1"/>
  <c r="M507" i="17" s="1"/>
  <c r="D455" i="17"/>
  <c r="J455" i="17" s="1"/>
  <c r="K455" i="17" s="1"/>
  <c r="D482" i="17"/>
  <c r="J482" i="17" s="1"/>
  <c r="K482" i="17" s="1"/>
  <c r="H455" i="17" l="1"/>
  <c r="L455" i="17" s="1"/>
  <c r="M455" i="17" s="1"/>
  <c r="H482" i="17"/>
  <c r="L482" i="17" s="1"/>
  <c r="M482" i="17" s="1"/>
  <c r="D1885" i="17"/>
  <c r="D1195" i="17"/>
  <c r="J1195" i="17" s="1"/>
  <c r="K1195" i="17" s="1"/>
  <c r="D1193" i="17"/>
  <c r="J1193" i="17" s="1"/>
  <c r="K1193" i="17" s="1"/>
  <c r="D1191" i="17"/>
  <c r="J1191" i="17" s="1"/>
  <c r="K1191" i="17" s="1"/>
  <c r="D1190" i="17"/>
  <c r="J1190" i="17" s="1"/>
  <c r="K1190" i="17" s="1"/>
  <c r="H1885" i="17" l="1"/>
  <c r="L1885" i="17" s="1"/>
  <c r="M1885" i="17" s="1"/>
  <c r="J1885" i="17"/>
  <c r="K1885" i="17" s="1"/>
  <c r="H1195" i="17"/>
  <c r="L1195" i="17" s="1"/>
  <c r="M1195" i="17" s="1"/>
  <c r="H1191" i="17"/>
  <c r="L1191" i="17" s="1"/>
  <c r="M1191" i="17" s="1"/>
  <c r="H1190" i="17"/>
  <c r="L1190" i="17" s="1"/>
  <c r="M1190" i="17" s="1"/>
  <c r="H1193" i="17"/>
  <c r="L1193" i="17" s="1"/>
  <c r="M1193" i="17" s="1"/>
  <c r="D1188" i="17"/>
  <c r="D1182" i="17"/>
  <c r="B161" i="4"/>
  <c r="B134" i="4"/>
  <c r="B131" i="4"/>
  <c r="G131" i="4" s="1"/>
  <c r="H131" i="4" s="1"/>
  <c r="B78" i="7"/>
  <c r="H1182" i="17" l="1"/>
  <c r="L1182" i="17" s="1"/>
  <c r="M1182" i="17" s="1"/>
  <c r="J1182" i="17"/>
  <c r="K1182" i="17" s="1"/>
  <c r="H1188" i="17"/>
  <c r="L1188" i="17" s="1"/>
  <c r="M1188" i="17" s="1"/>
  <c r="J1188" i="17"/>
  <c r="K1188" i="17" s="1"/>
  <c r="E134" i="4"/>
  <c r="I134" i="4" s="1"/>
  <c r="J134" i="4" s="1"/>
  <c r="E131" i="4"/>
  <c r="I131" i="4" s="1"/>
  <c r="J131" i="4" s="1"/>
  <c r="E161" i="4"/>
  <c r="I161" i="4" s="1"/>
  <c r="J161" i="4" s="1"/>
  <c r="E78" i="7"/>
  <c r="I78" i="7" s="1"/>
  <c r="J78" i="7" s="1"/>
  <c r="G78" i="7"/>
  <c r="H78" i="7" s="1"/>
  <c r="D1890" i="17"/>
  <c r="B77" i="7"/>
  <c r="B369" i="4"/>
  <c r="B554" i="4"/>
  <c r="H1890" i="17" l="1"/>
  <c r="L1890" i="17" s="1"/>
  <c r="M1890" i="17" s="1"/>
  <c r="J1890" i="17"/>
  <c r="K1890" i="17" s="1"/>
  <c r="E554" i="4"/>
  <c r="I554" i="4" s="1"/>
  <c r="J554" i="4" s="1"/>
  <c r="G554" i="4"/>
  <c r="H554" i="4" s="1"/>
  <c r="E369" i="4"/>
  <c r="I369" i="4" s="1"/>
  <c r="J369" i="4" s="1"/>
  <c r="E77" i="7"/>
  <c r="I77" i="7" s="1"/>
  <c r="J77" i="7" s="1"/>
  <c r="G77" i="7"/>
  <c r="H77" i="7" s="1"/>
  <c r="B43" i="6"/>
  <c r="D474" i="17"/>
  <c r="J474" i="17" s="1"/>
  <c r="K474" i="17" s="1"/>
  <c r="D1686" i="17"/>
  <c r="J1686" i="17" s="1"/>
  <c r="K1686" i="17" s="1"/>
  <c r="B768" i="4"/>
  <c r="E768" i="4" s="1"/>
  <c r="I768" i="4" s="1"/>
  <c r="J768" i="4" s="1"/>
  <c r="H1686" i="17" l="1"/>
  <c r="L1686" i="17" s="1"/>
  <c r="M1686" i="17" s="1"/>
  <c r="H474" i="17"/>
  <c r="L474" i="17" s="1"/>
  <c r="M474" i="17" s="1"/>
  <c r="B767" i="4"/>
  <c r="D461" i="17"/>
  <c r="J461" i="17" s="1"/>
  <c r="K461" i="17" s="1"/>
  <c r="D976" i="17"/>
  <c r="J976" i="17" s="1"/>
  <c r="K976" i="17" s="1"/>
  <c r="H976" i="17" l="1"/>
  <c r="L976" i="17" s="1"/>
  <c r="M976" i="17" s="1"/>
  <c r="E767" i="4"/>
  <c r="I767" i="4" s="1"/>
  <c r="J767" i="4" s="1"/>
  <c r="G767" i="4"/>
  <c r="H767" i="4" s="1"/>
  <c r="H461" i="17"/>
  <c r="L461" i="17" s="1"/>
  <c r="M461" i="17" s="1"/>
  <c r="D930" i="17"/>
  <c r="B370" i="4"/>
  <c r="H930" i="17" l="1"/>
  <c r="L930" i="17" s="1"/>
  <c r="M930" i="17" s="1"/>
  <c r="J930" i="17"/>
  <c r="K930" i="17" s="1"/>
  <c r="E370" i="4"/>
  <c r="I370" i="4" s="1"/>
  <c r="J370" i="4" s="1"/>
  <c r="D1747" i="17"/>
  <c r="J1747" i="17" s="1"/>
  <c r="K1747" i="17" s="1"/>
  <c r="D1709" i="17"/>
  <c r="D1706" i="17"/>
  <c r="D1697" i="17"/>
  <c r="D1690" i="17"/>
  <c r="D1685" i="17"/>
  <c r="D1655" i="17"/>
  <c r="D1652" i="17"/>
  <c r="D1643" i="17"/>
  <c r="J1643" i="17" s="1"/>
  <c r="K1643" i="17" s="1"/>
  <c r="D1637" i="17"/>
  <c r="J1637" i="17" s="1"/>
  <c r="K1637" i="17" s="1"/>
  <c r="D1632" i="17"/>
  <c r="J1632" i="17" s="1"/>
  <c r="K1632" i="17" s="1"/>
  <c r="D1599" i="17"/>
  <c r="D1596" i="17"/>
  <c r="J1596" i="17" s="1"/>
  <c r="K1596" i="17" s="1"/>
  <c r="D1583" i="17"/>
  <c r="D1578" i="17"/>
  <c r="D1573" i="17"/>
  <c r="J1573" i="17" s="1"/>
  <c r="K1573" i="17" s="1"/>
  <c r="D1566" i="17"/>
  <c r="D1561" i="17"/>
  <c r="D1520" i="17"/>
  <c r="J1520" i="17" s="1"/>
  <c r="K1520" i="17" s="1"/>
  <c r="D1511" i="17"/>
  <c r="J1511" i="17" s="1"/>
  <c r="K1511" i="17" s="1"/>
  <c r="D1504" i="17"/>
  <c r="J1504" i="17" s="1"/>
  <c r="K1504" i="17" s="1"/>
  <c r="D1499" i="17"/>
  <c r="D1460" i="17"/>
  <c r="D1451" i="17"/>
  <c r="J1451" i="17" s="1"/>
  <c r="K1451" i="17" s="1"/>
  <c r="D1446" i="17"/>
  <c r="J1446" i="17" s="1"/>
  <c r="K1446" i="17" s="1"/>
  <c r="D1439" i="17"/>
  <c r="J1439" i="17" s="1"/>
  <c r="K1439" i="17" s="1"/>
  <c r="D1433" i="17"/>
  <c r="D1428" i="17"/>
  <c r="D1395" i="17"/>
  <c r="D1392" i="17"/>
  <c r="J1392" i="17" s="1"/>
  <c r="K1392" i="17" s="1"/>
  <c r="D1383" i="17"/>
  <c r="D1377" i="17"/>
  <c r="D1322" i="17"/>
  <c r="D1318" i="17"/>
  <c r="D1309" i="17"/>
  <c r="J1309" i="17" s="1"/>
  <c r="K1309" i="17" s="1"/>
  <c r="D1298" i="17"/>
  <c r="D1293" i="17"/>
  <c r="D1260" i="17"/>
  <c r="D1256" i="17"/>
  <c r="J1256" i="17" s="1"/>
  <c r="K1256" i="17" s="1"/>
  <c r="D1247" i="17"/>
  <c r="D1246" i="17"/>
  <c r="D1241" i="17"/>
  <c r="D1236" i="17"/>
  <c r="J1236" i="17" s="1"/>
  <c r="K1236" i="17" s="1"/>
  <c r="D1204" i="17"/>
  <c r="J1204" i="17" s="1"/>
  <c r="K1204" i="17" s="1"/>
  <c r="D1127" i="17"/>
  <c r="J1127" i="17" s="1"/>
  <c r="K1127" i="17" s="1"/>
  <c r="D1119" i="17"/>
  <c r="J1119" i="17" s="1"/>
  <c r="K1119" i="17" s="1"/>
  <c r="D1112" i="17"/>
  <c r="J1112" i="17" s="1"/>
  <c r="K1112" i="17" s="1"/>
  <c r="D1102" i="17"/>
  <c r="J1102" i="17" s="1"/>
  <c r="K1102" i="17" s="1"/>
  <c r="D1101" i="17"/>
  <c r="J1101" i="17" s="1"/>
  <c r="K1101" i="17" s="1"/>
  <c r="D1082" i="17"/>
  <c r="J1082" i="17" s="1"/>
  <c r="K1082" i="17" s="1"/>
  <c r="D1081" i="17"/>
  <c r="J1081" i="17" s="1"/>
  <c r="K1081" i="17" s="1"/>
  <c r="D1073" i="17"/>
  <c r="J1073" i="17" s="1"/>
  <c r="K1073" i="17" s="1"/>
  <c r="D1012" i="17"/>
  <c r="J1012" i="17" s="1"/>
  <c r="K1012" i="17" s="1"/>
  <c r="D981" i="17"/>
  <c r="J981" i="17" s="1"/>
  <c r="K981" i="17" s="1"/>
  <c r="D939" i="17"/>
  <c r="D928" i="17"/>
  <c r="D7" i="17"/>
  <c r="J7" i="17" l="1"/>
  <c r="K7" i="17" s="1"/>
  <c r="H1246" i="17"/>
  <c r="L1246" i="17" s="1"/>
  <c r="M1246" i="17" s="1"/>
  <c r="J1246" i="17"/>
  <c r="K1246" i="17" s="1"/>
  <c r="H1293" i="17"/>
  <c r="L1293" i="17" s="1"/>
  <c r="M1293" i="17" s="1"/>
  <c r="J1293" i="17"/>
  <c r="K1293" i="17" s="1"/>
  <c r="H1322" i="17"/>
  <c r="L1322" i="17" s="1"/>
  <c r="M1322" i="17" s="1"/>
  <c r="J1322" i="17"/>
  <c r="K1322" i="17" s="1"/>
  <c r="H1383" i="17"/>
  <c r="L1383" i="17" s="1"/>
  <c r="M1383" i="17" s="1"/>
  <c r="J1383" i="17"/>
  <c r="K1383" i="17" s="1"/>
  <c r="H1395" i="17"/>
  <c r="L1395" i="17" s="1"/>
  <c r="M1395" i="17" s="1"/>
  <c r="J1395" i="17"/>
  <c r="K1395" i="17" s="1"/>
  <c r="H1433" i="17"/>
  <c r="L1433" i="17" s="1"/>
  <c r="M1433" i="17" s="1"/>
  <c r="J1433" i="17"/>
  <c r="K1433" i="17" s="1"/>
  <c r="H1460" i="17"/>
  <c r="L1460" i="17" s="1"/>
  <c r="M1460" i="17" s="1"/>
  <c r="J1460" i="17"/>
  <c r="K1460" i="17" s="1"/>
  <c r="H1566" i="17"/>
  <c r="L1566" i="17" s="1"/>
  <c r="M1566" i="17" s="1"/>
  <c r="J1566" i="17"/>
  <c r="K1566" i="17" s="1"/>
  <c r="H1578" i="17"/>
  <c r="L1578" i="17" s="1"/>
  <c r="M1578" i="17" s="1"/>
  <c r="J1578" i="17"/>
  <c r="K1578" i="17" s="1"/>
  <c r="H1655" i="17"/>
  <c r="L1655" i="17" s="1"/>
  <c r="M1655" i="17" s="1"/>
  <c r="J1655" i="17"/>
  <c r="K1655" i="17" s="1"/>
  <c r="H1690" i="17"/>
  <c r="L1690" i="17" s="1"/>
  <c r="M1690" i="17" s="1"/>
  <c r="J1690" i="17"/>
  <c r="K1690" i="17" s="1"/>
  <c r="H1706" i="17"/>
  <c r="L1706" i="17" s="1"/>
  <c r="M1706" i="17" s="1"/>
  <c r="J1706" i="17"/>
  <c r="K1706" i="17" s="1"/>
  <c r="H939" i="17"/>
  <c r="L939" i="17" s="1"/>
  <c r="M939" i="17" s="1"/>
  <c r="J939" i="17"/>
  <c r="K939" i="17" s="1"/>
  <c r="H928" i="17"/>
  <c r="L928" i="17" s="1"/>
  <c r="M928" i="17" s="1"/>
  <c r="J928" i="17"/>
  <c r="K928" i="17" s="1"/>
  <c r="H1241" i="17"/>
  <c r="L1241" i="17" s="1"/>
  <c r="M1241" i="17" s="1"/>
  <c r="J1241" i="17"/>
  <c r="K1241" i="17" s="1"/>
  <c r="H1247" i="17"/>
  <c r="L1247" i="17" s="1"/>
  <c r="M1247" i="17" s="1"/>
  <c r="J1247" i="17"/>
  <c r="K1247" i="17" s="1"/>
  <c r="H1260" i="17"/>
  <c r="L1260" i="17" s="1"/>
  <c r="M1260" i="17" s="1"/>
  <c r="J1260" i="17"/>
  <c r="K1260" i="17" s="1"/>
  <c r="H1298" i="17"/>
  <c r="L1298" i="17" s="1"/>
  <c r="M1298" i="17" s="1"/>
  <c r="J1298" i="17"/>
  <c r="K1298" i="17" s="1"/>
  <c r="H1318" i="17"/>
  <c r="L1318" i="17" s="1"/>
  <c r="M1318" i="17" s="1"/>
  <c r="J1318" i="17"/>
  <c r="K1318" i="17" s="1"/>
  <c r="H1377" i="17"/>
  <c r="L1377" i="17" s="1"/>
  <c r="M1377" i="17" s="1"/>
  <c r="J1377" i="17"/>
  <c r="K1377" i="17" s="1"/>
  <c r="H1428" i="17"/>
  <c r="L1428" i="17" s="1"/>
  <c r="M1428" i="17" s="1"/>
  <c r="J1428" i="17"/>
  <c r="K1428" i="17" s="1"/>
  <c r="H1499" i="17"/>
  <c r="L1499" i="17" s="1"/>
  <c r="M1499" i="17" s="1"/>
  <c r="J1499" i="17"/>
  <c r="K1499" i="17" s="1"/>
  <c r="H1561" i="17"/>
  <c r="L1561" i="17" s="1"/>
  <c r="M1561" i="17" s="1"/>
  <c r="J1561" i="17"/>
  <c r="K1561" i="17" s="1"/>
  <c r="H1583" i="17"/>
  <c r="L1583" i="17" s="1"/>
  <c r="M1583" i="17" s="1"/>
  <c r="J1583" i="17"/>
  <c r="K1583" i="17" s="1"/>
  <c r="H1599" i="17"/>
  <c r="L1599" i="17" s="1"/>
  <c r="M1599" i="17" s="1"/>
  <c r="J1599" i="17"/>
  <c r="K1599" i="17" s="1"/>
  <c r="H1652" i="17"/>
  <c r="L1652" i="17" s="1"/>
  <c r="M1652" i="17" s="1"/>
  <c r="J1652" i="17"/>
  <c r="K1652" i="17" s="1"/>
  <c r="H1685" i="17"/>
  <c r="L1685" i="17" s="1"/>
  <c r="M1685" i="17" s="1"/>
  <c r="J1685" i="17"/>
  <c r="K1685" i="17" s="1"/>
  <c r="H1697" i="17"/>
  <c r="L1697" i="17" s="1"/>
  <c r="M1697" i="17" s="1"/>
  <c r="J1697" i="17"/>
  <c r="K1697" i="17" s="1"/>
  <c r="H1709" i="17"/>
  <c r="L1709" i="17" s="1"/>
  <c r="M1709" i="17" s="1"/>
  <c r="J1709" i="17"/>
  <c r="K1709" i="17" s="1"/>
  <c r="H7" i="17"/>
  <c r="L7" i="17" s="1"/>
  <c r="M7" i="17" s="1"/>
  <c r="H1012" i="17"/>
  <c r="L1012" i="17" s="1"/>
  <c r="M1012" i="17" s="1"/>
  <c r="H1101" i="17"/>
  <c r="L1101" i="17" s="1"/>
  <c r="M1101" i="17" s="1"/>
  <c r="H981" i="17"/>
  <c r="L981" i="17" s="1"/>
  <c r="M981" i="17" s="1"/>
  <c r="H1082" i="17"/>
  <c r="L1082" i="17" s="1"/>
  <c r="M1082" i="17" s="1"/>
  <c r="H1119" i="17"/>
  <c r="L1119" i="17" s="1"/>
  <c r="M1119" i="17" s="1"/>
  <c r="H1392" i="17"/>
  <c r="L1392" i="17" s="1"/>
  <c r="M1392" i="17" s="1"/>
  <c r="H1439" i="17"/>
  <c r="L1439" i="17" s="1"/>
  <c r="M1439" i="17" s="1"/>
  <c r="H1637" i="17"/>
  <c r="L1637" i="17" s="1"/>
  <c r="M1637" i="17" s="1"/>
  <c r="H1446" i="17"/>
  <c r="L1446" i="17" s="1"/>
  <c r="M1446" i="17" s="1"/>
  <c r="H1504" i="17"/>
  <c r="L1504" i="17" s="1"/>
  <c r="M1504" i="17" s="1"/>
  <c r="H1596" i="17"/>
  <c r="L1596" i="17" s="1"/>
  <c r="M1596" i="17" s="1"/>
  <c r="H1643" i="17"/>
  <c r="L1643" i="17" s="1"/>
  <c r="M1643" i="17" s="1"/>
  <c r="H1747" i="17"/>
  <c r="L1747" i="17" s="1"/>
  <c r="M1747" i="17" s="1"/>
  <c r="H1127" i="17"/>
  <c r="L1127" i="17" s="1"/>
  <c r="M1127" i="17" s="1"/>
  <c r="H1073" i="17"/>
  <c r="L1073" i="17" s="1"/>
  <c r="M1073" i="17" s="1"/>
  <c r="H1102" i="17"/>
  <c r="L1102" i="17" s="1"/>
  <c r="M1102" i="17" s="1"/>
  <c r="H1204" i="17"/>
  <c r="L1204" i="17" s="1"/>
  <c r="M1204" i="17" s="1"/>
  <c r="H1451" i="17"/>
  <c r="L1451" i="17" s="1"/>
  <c r="M1451" i="17" s="1"/>
  <c r="H1511" i="17"/>
  <c r="L1511" i="17" s="1"/>
  <c r="M1511" i="17" s="1"/>
  <c r="H1573" i="17"/>
  <c r="L1573" i="17" s="1"/>
  <c r="M1573" i="17" s="1"/>
  <c r="H1081" i="17"/>
  <c r="L1081" i="17" s="1"/>
  <c r="M1081" i="17" s="1"/>
  <c r="H1112" i="17"/>
  <c r="L1112" i="17" s="1"/>
  <c r="M1112" i="17" s="1"/>
  <c r="H1236" i="17"/>
  <c r="L1236" i="17" s="1"/>
  <c r="M1236" i="17" s="1"/>
  <c r="H1256" i="17"/>
  <c r="L1256" i="17" s="1"/>
  <c r="M1256" i="17" s="1"/>
  <c r="H1309" i="17"/>
  <c r="L1309" i="17" s="1"/>
  <c r="M1309" i="17" s="1"/>
  <c r="H1520" i="17"/>
  <c r="L1520" i="17" s="1"/>
  <c r="M1520" i="17" s="1"/>
  <c r="H1632" i="17"/>
  <c r="L1632" i="17" s="1"/>
  <c r="M1632" i="17" s="1"/>
  <c r="D980" i="17"/>
  <c r="J980" i="17" s="1"/>
  <c r="K980" i="17" s="1"/>
  <c r="D1689" i="17"/>
  <c r="D1208" i="17"/>
  <c r="D1297" i="17"/>
  <c r="D1509" i="17"/>
  <c r="J1509" i="17" s="1"/>
  <c r="K1509" i="17" s="1"/>
  <c r="D1696" i="17"/>
  <c r="D1122" i="17"/>
  <c r="J1122" i="17" s="1"/>
  <c r="K1122" i="17" s="1"/>
  <c r="D1503" i="17"/>
  <c r="J1503" i="17" s="1"/>
  <c r="K1503" i="17" s="1"/>
  <c r="D1080" i="17"/>
  <c r="J1080" i="17" s="1"/>
  <c r="K1080" i="17" s="1"/>
  <c r="D1303" i="17"/>
  <c r="J1303" i="17" s="1"/>
  <c r="K1303" i="17" s="1"/>
  <c r="D1432" i="17"/>
  <c r="D1636" i="17"/>
  <c r="J1636" i="17" s="1"/>
  <c r="K1636" i="17" s="1"/>
  <c r="D927" i="17"/>
  <c r="D1240" i="17"/>
  <c r="D1438" i="17"/>
  <c r="J1438" i="17" s="1"/>
  <c r="K1438" i="17" s="1"/>
  <c r="D1100" i="17"/>
  <c r="J1100" i="17" s="1"/>
  <c r="K1100" i="17" s="1"/>
  <c r="D1565" i="17"/>
  <c r="D1642" i="17"/>
  <c r="J1642" i="17" s="1"/>
  <c r="K1642" i="17" s="1"/>
  <c r="D1745" i="17"/>
  <c r="J1745" i="17" s="1"/>
  <c r="K1745" i="17" s="1"/>
  <c r="D1376" i="17"/>
  <c r="D1382" i="17"/>
  <c r="D1071" i="17"/>
  <c r="J1071" i="17" s="1"/>
  <c r="K1071" i="17" s="1"/>
  <c r="D514" i="17"/>
  <c r="J514" i="17" s="1"/>
  <c r="K514" i="17" s="1"/>
  <c r="D1444" i="17"/>
  <c r="J1444" i="17" s="1"/>
  <c r="K1444" i="17" s="1"/>
  <c r="D1571" i="17"/>
  <c r="D932" i="17"/>
  <c r="D999" i="17"/>
  <c r="J999" i="17" s="1"/>
  <c r="K999" i="17" s="1"/>
  <c r="H1565" i="17" l="1"/>
  <c r="L1565" i="17" s="1"/>
  <c r="M1565" i="17" s="1"/>
  <c r="J1565" i="17"/>
  <c r="K1565" i="17" s="1"/>
  <c r="H927" i="17"/>
  <c r="L927" i="17" s="1"/>
  <c r="M927" i="17" s="1"/>
  <c r="J927" i="17"/>
  <c r="K927" i="17" s="1"/>
  <c r="H1432" i="17"/>
  <c r="L1432" i="17" s="1"/>
  <c r="M1432" i="17" s="1"/>
  <c r="J1432" i="17"/>
  <c r="K1432" i="17" s="1"/>
  <c r="H932" i="17"/>
  <c r="L932" i="17" s="1"/>
  <c r="M932" i="17" s="1"/>
  <c r="J932" i="17"/>
  <c r="K932" i="17" s="1"/>
  <c r="H1376" i="17"/>
  <c r="L1376" i="17" s="1"/>
  <c r="M1376" i="17" s="1"/>
  <c r="J1376" i="17"/>
  <c r="K1376" i="17" s="1"/>
  <c r="H1240" i="17"/>
  <c r="L1240" i="17" s="1"/>
  <c r="M1240" i="17" s="1"/>
  <c r="J1240" i="17"/>
  <c r="K1240" i="17" s="1"/>
  <c r="H1696" i="17"/>
  <c r="L1696" i="17" s="1"/>
  <c r="M1696" i="17" s="1"/>
  <c r="J1696" i="17"/>
  <c r="K1696" i="17" s="1"/>
  <c r="H1297" i="17"/>
  <c r="L1297" i="17" s="1"/>
  <c r="M1297" i="17" s="1"/>
  <c r="J1297" i="17"/>
  <c r="K1297" i="17" s="1"/>
  <c r="H1689" i="17"/>
  <c r="L1689" i="17" s="1"/>
  <c r="M1689" i="17" s="1"/>
  <c r="J1689" i="17"/>
  <c r="K1689" i="17" s="1"/>
  <c r="H1571" i="17"/>
  <c r="L1571" i="17" s="1"/>
  <c r="M1571" i="17" s="1"/>
  <c r="J1571" i="17"/>
  <c r="K1571" i="17" s="1"/>
  <c r="H1382" i="17"/>
  <c r="L1382" i="17" s="1"/>
  <c r="M1382" i="17" s="1"/>
  <c r="J1382" i="17"/>
  <c r="K1382" i="17" s="1"/>
  <c r="H1208" i="17"/>
  <c r="L1208" i="17" s="1"/>
  <c r="M1208" i="17" s="1"/>
  <c r="J1208" i="17"/>
  <c r="K1208" i="17" s="1"/>
  <c r="H1509" i="17"/>
  <c r="L1509" i="17" s="1"/>
  <c r="M1509" i="17" s="1"/>
  <c r="H1100" i="17"/>
  <c r="L1100" i="17" s="1"/>
  <c r="M1100" i="17" s="1"/>
  <c r="H514" i="17"/>
  <c r="L514" i="17" s="1"/>
  <c r="M514" i="17" s="1"/>
  <c r="H1745" i="17"/>
  <c r="L1745" i="17" s="1"/>
  <c r="M1745" i="17" s="1"/>
  <c r="H1438" i="17"/>
  <c r="L1438" i="17" s="1"/>
  <c r="M1438" i="17" s="1"/>
  <c r="H1122" i="17"/>
  <c r="L1122" i="17" s="1"/>
  <c r="M1122" i="17" s="1"/>
  <c r="H1080" i="17"/>
  <c r="L1080" i="17" s="1"/>
  <c r="M1080" i="17" s="1"/>
  <c r="H1444" i="17"/>
  <c r="L1444" i="17" s="1"/>
  <c r="M1444" i="17" s="1"/>
  <c r="H1636" i="17"/>
  <c r="L1636" i="17" s="1"/>
  <c r="M1636" i="17" s="1"/>
  <c r="H1503" i="17"/>
  <c r="L1503" i="17" s="1"/>
  <c r="M1503" i="17" s="1"/>
  <c r="H999" i="17"/>
  <c r="L999" i="17" s="1"/>
  <c r="M999" i="17" s="1"/>
  <c r="H1071" i="17"/>
  <c r="L1071" i="17" s="1"/>
  <c r="M1071" i="17" s="1"/>
  <c r="H1642" i="17"/>
  <c r="L1642" i="17" s="1"/>
  <c r="M1642" i="17" s="1"/>
  <c r="H1303" i="17"/>
  <c r="L1303" i="17" s="1"/>
  <c r="M1303" i="17" s="1"/>
  <c r="H980" i="17"/>
  <c r="L980" i="17" s="1"/>
  <c r="M980" i="17" s="1"/>
  <c r="D1677" i="17"/>
  <c r="D1858" i="17"/>
  <c r="D1206" i="17"/>
  <c r="J1206" i="17" s="1"/>
  <c r="K1206" i="17" s="1"/>
  <c r="D1492" i="17"/>
  <c r="D1625" i="17"/>
  <c r="D1886" i="17"/>
  <c r="D1064" i="17"/>
  <c r="J1064" i="17" s="1"/>
  <c r="K1064" i="17" s="1"/>
  <c r="D1553" i="17"/>
  <c r="D972" i="17"/>
  <c r="J972" i="17" s="1"/>
  <c r="K972" i="17" s="1"/>
  <c r="D1229" i="17"/>
  <c r="D448" i="17"/>
  <c r="J448" i="17" s="1"/>
  <c r="K448" i="17" s="1"/>
  <c r="D1284" i="17"/>
  <c r="D1884" i="17"/>
  <c r="D1889" i="17"/>
  <c r="D1369" i="17"/>
  <c r="D1420" i="17"/>
  <c r="D920" i="17"/>
  <c r="H920" i="17" l="1"/>
  <c r="L920" i="17" s="1"/>
  <c r="M920" i="17" s="1"/>
  <c r="J920" i="17"/>
  <c r="K920" i="17" s="1"/>
  <c r="H1625" i="17"/>
  <c r="L1625" i="17" s="1"/>
  <c r="M1625" i="17" s="1"/>
  <c r="J1625" i="17"/>
  <c r="K1625" i="17" s="1"/>
  <c r="H1677" i="17"/>
  <c r="L1677" i="17" s="1"/>
  <c r="M1677" i="17" s="1"/>
  <c r="J1677" i="17"/>
  <c r="K1677" i="17" s="1"/>
  <c r="H1369" i="17"/>
  <c r="L1369" i="17" s="1"/>
  <c r="M1369" i="17" s="1"/>
  <c r="J1369" i="17"/>
  <c r="K1369" i="17" s="1"/>
  <c r="H1884" i="17"/>
  <c r="L1884" i="17" s="1"/>
  <c r="M1884" i="17" s="1"/>
  <c r="J1884" i="17"/>
  <c r="K1884" i="17" s="1"/>
  <c r="H1420" i="17"/>
  <c r="L1420" i="17" s="1"/>
  <c r="M1420" i="17" s="1"/>
  <c r="J1420" i="17"/>
  <c r="K1420" i="17" s="1"/>
  <c r="H1889" i="17"/>
  <c r="L1889" i="17" s="1"/>
  <c r="M1889" i="17" s="1"/>
  <c r="J1889" i="17"/>
  <c r="K1889" i="17" s="1"/>
  <c r="H1284" i="17"/>
  <c r="L1284" i="17" s="1"/>
  <c r="M1284" i="17" s="1"/>
  <c r="J1284" i="17"/>
  <c r="K1284" i="17" s="1"/>
  <c r="H1229" i="17"/>
  <c r="L1229" i="17" s="1"/>
  <c r="M1229" i="17" s="1"/>
  <c r="J1229" i="17"/>
  <c r="K1229" i="17" s="1"/>
  <c r="H1553" i="17"/>
  <c r="L1553" i="17" s="1"/>
  <c r="M1553" i="17" s="1"/>
  <c r="J1553" i="17"/>
  <c r="K1553" i="17" s="1"/>
  <c r="H1886" i="17"/>
  <c r="L1886" i="17" s="1"/>
  <c r="M1886" i="17" s="1"/>
  <c r="J1886" i="17"/>
  <c r="K1886" i="17" s="1"/>
  <c r="H1492" i="17"/>
  <c r="L1492" i="17" s="1"/>
  <c r="M1492" i="17" s="1"/>
  <c r="J1492" i="17"/>
  <c r="K1492" i="17" s="1"/>
  <c r="H1858" i="17"/>
  <c r="L1858" i="17" s="1"/>
  <c r="M1858" i="17" s="1"/>
  <c r="J1858" i="17"/>
  <c r="K1858" i="17" s="1"/>
  <c r="H1064" i="17"/>
  <c r="L1064" i="17" s="1"/>
  <c r="M1064" i="17" s="1"/>
  <c r="H448" i="17"/>
  <c r="L448" i="17" s="1"/>
  <c r="M448" i="17" s="1"/>
  <c r="H1206" i="17"/>
  <c r="L1206" i="17" s="1"/>
  <c r="M1206" i="17" s="1"/>
  <c r="H972" i="17"/>
  <c r="L972" i="17" s="1"/>
  <c r="M972" i="17" s="1"/>
  <c r="D1900" i="17"/>
  <c r="H1900" i="17" l="1"/>
  <c r="L1900" i="17" s="1"/>
  <c r="M1900" i="17" s="1"/>
  <c r="J1900" i="17"/>
  <c r="K1900" i="17" s="1"/>
  <c r="D1760" i="17"/>
  <c r="J1760" i="17" s="1"/>
  <c r="K1760" i="17" s="1"/>
  <c r="H1760" i="17" l="1"/>
  <c r="L1760" i="17" s="1"/>
  <c r="M1760" i="17" s="1"/>
  <c r="B84" i="7" l="1"/>
  <c r="B68" i="7"/>
  <c r="B63" i="7"/>
  <c r="B42" i="7"/>
  <c r="B37" i="7"/>
  <c r="B32" i="7"/>
  <c r="B30" i="7"/>
  <c r="B23" i="7"/>
  <c r="B20" i="7"/>
  <c r="B17" i="7"/>
  <c r="B14" i="7"/>
  <c r="B10" i="7"/>
  <c r="B7" i="7"/>
  <c r="B779" i="4"/>
  <c r="B776" i="4"/>
  <c r="B770" i="4"/>
  <c r="B763" i="4"/>
  <c r="B760" i="4"/>
  <c r="B755" i="4"/>
  <c r="B750" i="4"/>
  <c r="B746" i="4"/>
  <c r="B743" i="4"/>
  <c r="B740" i="4"/>
  <c r="B730" i="4"/>
  <c r="B728" i="4"/>
  <c r="B722" i="4"/>
  <c r="B717" i="4"/>
  <c r="B715" i="4"/>
  <c r="B710" i="4"/>
  <c r="B703" i="4"/>
  <c r="B700" i="4"/>
  <c r="B696" i="4"/>
  <c r="B690" i="4"/>
  <c r="B686" i="4"/>
  <c r="B681" i="4"/>
  <c r="B676" i="4"/>
  <c r="B670" i="4"/>
  <c r="B668" i="4"/>
  <c r="B665" i="4"/>
  <c r="B662" i="4"/>
  <c r="B660" i="4"/>
  <c r="B658" i="4"/>
  <c r="B647" i="4"/>
  <c r="B640" i="4"/>
  <c r="B637" i="4"/>
  <c r="B631" i="4"/>
  <c r="B626" i="4"/>
  <c r="B623" i="4"/>
  <c r="B620" i="4"/>
  <c r="B617" i="4"/>
  <c r="B601" i="4"/>
  <c r="B598" i="4"/>
  <c r="B592" i="4"/>
  <c r="B586" i="4"/>
  <c r="B581" i="4"/>
  <c r="B576" i="4"/>
  <c r="B571" i="4"/>
  <c r="B569" i="4"/>
  <c r="B564" i="4"/>
  <c r="B561" i="4"/>
  <c r="B557" i="4"/>
  <c r="B546" i="4"/>
  <c r="B543" i="4"/>
  <c r="B538" i="4"/>
  <c r="B535" i="4"/>
  <c r="B531" i="4"/>
  <c r="B528" i="4"/>
  <c r="B520" i="4"/>
  <c r="B515" i="4"/>
  <c r="B510" i="4"/>
  <c r="B507" i="4"/>
  <c r="B499" i="4"/>
  <c r="B495" i="4"/>
  <c r="E495" i="4" s="1"/>
  <c r="I495" i="4" s="1"/>
  <c r="J495" i="4" s="1"/>
  <c r="B492" i="4"/>
  <c r="E492" i="4" s="1"/>
  <c r="I492" i="4" s="1"/>
  <c r="J492" i="4" s="1"/>
  <c r="B487" i="4"/>
  <c r="B484" i="4"/>
  <c r="B474" i="4"/>
  <c r="B470" i="4"/>
  <c r="B468" i="4"/>
  <c r="B463" i="4"/>
  <c r="B460" i="4"/>
  <c r="B457" i="4"/>
  <c r="B454" i="4"/>
  <c r="B439" i="4"/>
  <c r="B437" i="4"/>
  <c r="B432" i="4"/>
  <c r="G432" i="4" s="1"/>
  <c r="H432" i="4" s="1"/>
  <c r="B427" i="4"/>
  <c r="G427" i="4" s="1"/>
  <c r="H427" i="4" s="1"/>
  <c r="B422" i="4"/>
  <c r="G422" i="4" s="1"/>
  <c r="H422" i="4" s="1"/>
  <c r="B418" i="4"/>
  <c r="G418" i="4" s="1"/>
  <c r="H418" i="4" s="1"/>
  <c r="B413" i="4"/>
  <c r="G413" i="4" s="1"/>
  <c r="H413" i="4" s="1"/>
  <c r="B411" i="4"/>
  <c r="G411" i="4" s="1"/>
  <c r="H411" i="4" s="1"/>
  <c r="B408" i="4"/>
  <c r="G408" i="4" s="1"/>
  <c r="H408" i="4" s="1"/>
  <c r="B403" i="4"/>
  <c r="G403" i="4" s="1"/>
  <c r="H403" i="4" s="1"/>
  <c r="B398" i="4"/>
  <c r="G398" i="4" s="1"/>
  <c r="H398" i="4" s="1"/>
  <c r="B396" i="4"/>
  <c r="G396" i="4" s="1"/>
  <c r="H396" i="4" s="1"/>
  <c r="B393" i="4"/>
  <c r="B384" i="4"/>
  <c r="G384" i="4" s="1"/>
  <c r="H384" i="4" s="1"/>
  <c r="B383" i="4"/>
  <c r="B376" i="4"/>
  <c r="G376" i="4" s="1"/>
  <c r="H376" i="4" s="1"/>
  <c r="B372" i="4"/>
  <c r="G372" i="4" s="1"/>
  <c r="H372" i="4" s="1"/>
  <c r="B368" i="4"/>
  <c r="G368" i="4" s="1"/>
  <c r="H368" i="4" s="1"/>
  <c r="B356" i="4"/>
  <c r="G356" i="4" s="1"/>
  <c r="H356" i="4" s="1"/>
  <c r="B352" i="4"/>
  <c r="G352" i="4" s="1"/>
  <c r="H352" i="4" s="1"/>
  <c r="B348" i="4"/>
  <c r="G348" i="4" s="1"/>
  <c r="H348" i="4" s="1"/>
  <c r="B344" i="4"/>
  <c r="G344" i="4" s="1"/>
  <c r="H344" i="4" s="1"/>
  <c r="B341" i="4"/>
  <c r="G341" i="4" s="1"/>
  <c r="H341" i="4" s="1"/>
  <c r="B336" i="4"/>
  <c r="G336" i="4" s="1"/>
  <c r="H336" i="4" s="1"/>
  <c r="B330" i="4"/>
  <c r="G330" i="4" s="1"/>
  <c r="H330" i="4" s="1"/>
  <c r="B325" i="4"/>
  <c r="G325" i="4" s="1"/>
  <c r="H325" i="4" s="1"/>
  <c r="B323" i="4"/>
  <c r="G323" i="4" s="1"/>
  <c r="H323" i="4" s="1"/>
  <c r="B318" i="4"/>
  <c r="G318" i="4" s="1"/>
  <c r="H318" i="4" s="1"/>
  <c r="B316" i="4"/>
  <c r="G316" i="4" s="1"/>
  <c r="H316" i="4" s="1"/>
  <c r="B314" i="4"/>
  <c r="G314" i="4" s="1"/>
  <c r="H314" i="4" s="1"/>
  <c r="B308" i="4"/>
  <c r="G308" i="4" s="1"/>
  <c r="H308" i="4" s="1"/>
  <c r="B301" i="4"/>
  <c r="G301" i="4" s="1"/>
  <c r="H301" i="4" s="1"/>
  <c r="B294" i="4"/>
  <c r="G294" i="4" s="1"/>
  <c r="H294" i="4" s="1"/>
  <c r="B288" i="4"/>
  <c r="G288" i="4" s="1"/>
  <c r="H288" i="4" s="1"/>
  <c r="B282" i="4"/>
  <c r="G282" i="4" s="1"/>
  <c r="H282" i="4" s="1"/>
  <c r="B278" i="4"/>
  <c r="G278" i="4" s="1"/>
  <c r="H278" i="4" s="1"/>
  <c r="B272" i="4"/>
  <c r="G272" i="4" s="1"/>
  <c r="H272" i="4" s="1"/>
  <c r="B269" i="4"/>
  <c r="G269" i="4" s="1"/>
  <c r="H269" i="4" s="1"/>
  <c r="B265" i="4"/>
  <c r="G265" i="4" s="1"/>
  <c r="H265" i="4" s="1"/>
  <c r="B261" i="4"/>
  <c r="G261" i="4" s="1"/>
  <c r="H261" i="4" s="1"/>
  <c r="B257" i="4"/>
  <c r="G257" i="4" s="1"/>
  <c r="H257" i="4" s="1"/>
  <c r="B254" i="4"/>
  <c r="G254" i="4" s="1"/>
  <c r="H254" i="4" s="1"/>
  <c r="B250" i="4"/>
  <c r="G250" i="4" s="1"/>
  <c r="H250" i="4" s="1"/>
  <c r="B243" i="4"/>
  <c r="G243" i="4" s="1"/>
  <c r="H243" i="4" s="1"/>
  <c r="B235" i="4"/>
  <c r="G235" i="4" s="1"/>
  <c r="H235" i="4" s="1"/>
  <c r="B232" i="4"/>
  <c r="G232" i="4" s="1"/>
  <c r="H232" i="4" s="1"/>
  <c r="B228" i="4"/>
  <c r="G228" i="4" s="1"/>
  <c r="H228" i="4" s="1"/>
  <c r="B224" i="4"/>
  <c r="G224" i="4" s="1"/>
  <c r="H224" i="4" s="1"/>
  <c r="B222" i="4"/>
  <c r="G222" i="4" s="1"/>
  <c r="H222" i="4" s="1"/>
  <c r="B211" i="4"/>
  <c r="G211" i="4" s="1"/>
  <c r="H211" i="4" s="1"/>
  <c r="B208" i="4"/>
  <c r="G208" i="4" s="1"/>
  <c r="H208" i="4" s="1"/>
  <c r="B204" i="4"/>
  <c r="G204" i="4" s="1"/>
  <c r="H204" i="4" s="1"/>
  <c r="B199" i="4"/>
  <c r="G199" i="4" s="1"/>
  <c r="H199" i="4" s="1"/>
  <c r="B194" i="4"/>
  <c r="G194" i="4" s="1"/>
  <c r="H194" i="4" s="1"/>
  <c r="B190" i="4"/>
  <c r="G190" i="4" s="1"/>
  <c r="H190" i="4" s="1"/>
  <c r="B185" i="4"/>
  <c r="G185" i="4" s="1"/>
  <c r="H185" i="4" s="1"/>
  <c r="B172" i="4"/>
  <c r="G172" i="4" s="1"/>
  <c r="H172" i="4" s="1"/>
  <c r="B165" i="4"/>
  <c r="G165" i="4" s="1"/>
  <c r="H165" i="4" s="1"/>
  <c r="B159" i="4"/>
  <c r="G159" i="4" s="1"/>
  <c r="H159" i="4" s="1"/>
  <c r="B156" i="4"/>
  <c r="B155" i="4"/>
  <c r="B150" i="4"/>
  <c r="G150" i="4" s="1"/>
  <c r="H150" i="4" s="1"/>
  <c r="B144" i="4"/>
  <c r="G144" i="4" s="1"/>
  <c r="H144" i="4" s="1"/>
  <c r="B141" i="4"/>
  <c r="B136" i="4"/>
  <c r="G136" i="4" s="1"/>
  <c r="H136" i="4" s="1"/>
  <c r="B133" i="4"/>
  <c r="G133" i="4" s="1"/>
  <c r="H133" i="4" s="1"/>
  <c r="B129" i="4"/>
  <c r="G129" i="4" s="1"/>
  <c r="H129" i="4" s="1"/>
  <c r="B51" i="4"/>
  <c r="G51" i="4" s="1"/>
  <c r="H51" i="4" s="1"/>
  <c r="B48" i="4"/>
  <c r="G48" i="4" s="1"/>
  <c r="H48" i="4" s="1"/>
  <c r="B117" i="12"/>
  <c r="G117" i="12" s="1"/>
  <c r="H117" i="12" s="1"/>
  <c r="B114" i="12"/>
  <c r="G114" i="12" s="1"/>
  <c r="H114" i="12" s="1"/>
  <c r="B109" i="12"/>
  <c r="G109" i="12" s="1"/>
  <c r="H109" i="12" s="1"/>
  <c r="B103" i="12"/>
  <c r="G103" i="12" s="1"/>
  <c r="H103" i="12" s="1"/>
  <c r="B90" i="12"/>
  <c r="B79" i="12"/>
  <c r="G79" i="12" s="1"/>
  <c r="H79" i="12" s="1"/>
  <c r="B76" i="12"/>
  <c r="B70" i="12"/>
  <c r="G70" i="12" s="1"/>
  <c r="H70" i="12" s="1"/>
  <c r="B51" i="12"/>
  <c r="G51" i="12" s="1"/>
  <c r="H51" i="12" s="1"/>
  <c r="B27" i="12"/>
  <c r="G27" i="12" s="1"/>
  <c r="H27" i="12" s="1"/>
  <c r="B7" i="12"/>
  <c r="G7" i="12" s="1"/>
  <c r="H7" i="12" s="1"/>
  <c r="E90" i="12" l="1"/>
  <c r="I90" i="12" s="1"/>
  <c r="J90" i="12" s="1"/>
  <c r="G90" i="12"/>
  <c r="H90" i="12" s="1"/>
  <c r="E76" i="12"/>
  <c r="I76" i="12" s="1"/>
  <c r="J76" i="12" s="1"/>
  <c r="G76" i="12"/>
  <c r="H76" i="12" s="1"/>
  <c r="E439" i="4"/>
  <c r="I439" i="4" s="1"/>
  <c r="J439" i="4" s="1"/>
  <c r="G439" i="4"/>
  <c r="H439" i="4" s="1"/>
  <c r="E457" i="4"/>
  <c r="I457" i="4" s="1"/>
  <c r="J457" i="4" s="1"/>
  <c r="G457" i="4"/>
  <c r="H457" i="4" s="1"/>
  <c r="E463" i="4"/>
  <c r="I463" i="4" s="1"/>
  <c r="J463" i="4" s="1"/>
  <c r="G463" i="4"/>
  <c r="H463" i="4" s="1"/>
  <c r="E470" i="4"/>
  <c r="I470" i="4" s="1"/>
  <c r="J470" i="4" s="1"/>
  <c r="G470" i="4"/>
  <c r="H470" i="4" s="1"/>
  <c r="E484" i="4"/>
  <c r="I484" i="4" s="1"/>
  <c r="J484" i="4" s="1"/>
  <c r="G484" i="4"/>
  <c r="H484" i="4" s="1"/>
  <c r="E499" i="4"/>
  <c r="I499" i="4" s="1"/>
  <c r="J499" i="4" s="1"/>
  <c r="G499" i="4"/>
  <c r="H499" i="4" s="1"/>
  <c r="E510" i="4"/>
  <c r="I510" i="4" s="1"/>
  <c r="J510" i="4" s="1"/>
  <c r="G510" i="4"/>
  <c r="H510" i="4" s="1"/>
  <c r="E520" i="4"/>
  <c r="I520" i="4" s="1"/>
  <c r="J520" i="4" s="1"/>
  <c r="G520" i="4"/>
  <c r="H520" i="4" s="1"/>
  <c r="E531" i="4"/>
  <c r="I531" i="4" s="1"/>
  <c r="J531" i="4" s="1"/>
  <c r="G531" i="4"/>
  <c r="H531" i="4" s="1"/>
  <c r="E538" i="4"/>
  <c r="I538" i="4" s="1"/>
  <c r="J538" i="4" s="1"/>
  <c r="G538" i="4"/>
  <c r="H538" i="4" s="1"/>
  <c r="E546" i="4"/>
  <c r="I546" i="4" s="1"/>
  <c r="J546" i="4" s="1"/>
  <c r="G546" i="4"/>
  <c r="H546" i="4" s="1"/>
  <c r="E561" i="4"/>
  <c r="I561" i="4" s="1"/>
  <c r="J561" i="4" s="1"/>
  <c r="G561" i="4"/>
  <c r="H561" i="4" s="1"/>
  <c r="E569" i="4"/>
  <c r="I569" i="4" s="1"/>
  <c r="J569" i="4" s="1"/>
  <c r="G569" i="4"/>
  <c r="H569" i="4" s="1"/>
  <c r="E576" i="4"/>
  <c r="I576" i="4" s="1"/>
  <c r="J576" i="4" s="1"/>
  <c r="G576" i="4"/>
  <c r="H576" i="4" s="1"/>
  <c r="E586" i="4"/>
  <c r="I586" i="4" s="1"/>
  <c r="J586" i="4" s="1"/>
  <c r="G586" i="4"/>
  <c r="H586" i="4" s="1"/>
  <c r="E598" i="4"/>
  <c r="I598" i="4" s="1"/>
  <c r="J598" i="4" s="1"/>
  <c r="G598" i="4"/>
  <c r="H598" i="4" s="1"/>
  <c r="E617" i="4"/>
  <c r="I617" i="4" s="1"/>
  <c r="J617" i="4" s="1"/>
  <c r="G617" i="4"/>
  <c r="H617" i="4" s="1"/>
  <c r="E623" i="4"/>
  <c r="I623" i="4" s="1"/>
  <c r="J623" i="4" s="1"/>
  <c r="G623" i="4"/>
  <c r="H623" i="4" s="1"/>
  <c r="E631" i="4"/>
  <c r="I631" i="4" s="1"/>
  <c r="J631" i="4" s="1"/>
  <c r="G631" i="4"/>
  <c r="H631" i="4" s="1"/>
  <c r="E640" i="4"/>
  <c r="I640" i="4" s="1"/>
  <c r="J640" i="4" s="1"/>
  <c r="G640" i="4"/>
  <c r="H640" i="4" s="1"/>
  <c r="E658" i="4"/>
  <c r="I658" i="4" s="1"/>
  <c r="J658" i="4" s="1"/>
  <c r="G658" i="4"/>
  <c r="H658" i="4" s="1"/>
  <c r="E662" i="4"/>
  <c r="I662" i="4" s="1"/>
  <c r="J662" i="4" s="1"/>
  <c r="G662" i="4"/>
  <c r="H662" i="4" s="1"/>
  <c r="E668" i="4"/>
  <c r="I668" i="4" s="1"/>
  <c r="J668" i="4" s="1"/>
  <c r="G668" i="4"/>
  <c r="H668" i="4" s="1"/>
  <c r="E676" i="4"/>
  <c r="I676" i="4" s="1"/>
  <c r="J676" i="4" s="1"/>
  <c r="G676" i="4"/>
  <c r="H676" i="4" s="1"/>
  <c r="E686" i="4"/>
  <c r="I686" i="4" s="1"/>
  <c r="J686" i="4" s="1"/>
  <c r="G686" i="4"/>
  <c r="H686" i="4" s="1"/>
  <c r="E696" i="4"/>
  <c r="I696" i="4" s="1"/>
  <c r="J696" i="4" s="1"/>
  <c r="G696" i="4"/>
  <c r="H696" i="4" s="1"/>
  <c r="E703" i="4"/>
  <c r="I703" i="4" s="1"/>
  <c r="J703" i="4" s="1"/>
  <c r="G703" i="4"/>
  <c r="H703" i="4" s="1"/>
  <c r="E715" i="4"/>
  <c r="I715" i="4" s="1"/>
  <c r="J715" i="4" s="1"/>
  <c r="G715" i="4"/>
  <c r="H715" i="4" s="1"/>
  <c r="E722" i="4"/>
  <c r="I722" i="4" s="1"/>
  <c r="J722" i="4" s="1"/>
  <c r="G722" i="4"/>
  <c r="H722" i="4" s="1"/>
  <c r="E730" i="4"/>
  <c r="I730" i="4" s="1"/>
  <c r="J730" i="4" s="1"/>
  <c r="G730" i="4"/>
  <c r="H730" i="4" s="1"/>
  <c r="E743" i="4"/>
  <c r="I743" i="4" s="1"/>
  <c r="J743" i="4" s="1"/>
  <c r="G743" i="4"/>
  <c r="H743" i="4" s="1"/>
  <c r="E750" i="4"/>
  <c r="I750" i="4" s="1"/>
  <c r="J750" i="4" s="1"/>
  <c r="G750" i="4"/>
  <c r="H750" i="4" s="1"/>
  <c r="E760" i="4"/>
  <c r="I760" i="4" s="1"/>
  <c r="J760" i="4" s="1"/>
  <c r="G760" i="4"/>
  <c r="H760" i="4" s="1"/>
  <c r="E770" i="4"/>
  <c r="I770" i="4" s="1"/>
  <c r="J770" i="4" s="1"/>
  <c r="G770" i="4"/>
  <c r="H770" i="4" s="1"/>
  <c r="E779" i="4"/>
  <c r="I779" i="4" s="1"/>
  <c r="J779" i="4" s="1"/>
  <c r="G779" i="4"/>
  <c r="H779" i="4" s="1"/>
  <c r="E437" i="4"/>
  <c r="I437" i="4" s="1"/>
  <c r="J437" i="4" s="1"/>
  <c r="G437" i="4"/>
  <c r="H437" i="4" s="1"/>
  <c r="E454" i="4"/>
  <c r="I454" i="4" s="1"/>
  <c r="J454" i="4" s="1"/>
  <c r="G454" i="4"/>
  <c r="H454" i="4" s="1"/>
  <c r="E460" i="4"/>
  <c r="I460" i="4" s="1"/>
  <c r="J460" i="4" s="1"/>
  <c r="G460" i="4"/>
  <c r="H460" i="4" s="1"/>
  <c r="E468" i="4"/>
  <c r="I468" i="4" s="1"/>
  <c r="J468" i="4" s="1"/>
  <c r="G468" i="4"/>
  <c r="H468" i="4" s="1"/>
  <c r="E474" i="4"/>
  <c r="I474" i="4" s="1"/>
  <c r="J474" i="4" s="1"/>
  <c r="G474" i="4"/>
  <c r="H474" i="4" s="1"/>
  <c r="E487" i="4"/>
  <c r="I487" i="4" s="1"/>
  <c r="J487" i="4" s="1"/>
  <c r="G487" i="4"/>
  <c r="H487" i="4" s="1"/>
  <c r="E507" i="4"/>
  <c r="I507" i="4" s="1"/>
  <c r="J507" i="4" s="1"/>
  <c r="G507" i="4"/>
  <c r="H507" i="4" s="1"/>
  <c r="E515" i="4"/>
  <c r="I515" i="4" s="1"/>
  <c r="J515" i="4" s="1"/>
  <c r="G515" i="4"/>
  <c r="H515" i="4" s="1"/>
  <c r="E528" i="4"/>
  <c r="I528" i="4" s="1"/>
  <c r="J528" i="4" s="1"/>
  <c r="G528" i="4"/>
  <c r="H528" i="4" s="1"/>
  <c r="E535" i="4"/>
  <c r="I535" i="4" s="1"/>
  <c r="J535" i="4" s="1"/>
  <c r="G535" i="4"/>
  <c r="H535" i="4" s="1"/>
  <c r="E543" i="4"/>
  <c r="I543" i="4" s="1"/>
  <c r="J543" i="4" s="1"/>
  <c r="G543" i="4"/>
  <c r="H543" i="4" s="1"/>
  <c r="E557" i="4"/>
  <c r="I557" i="4" s="1"/>
  <c r="J557" i="4" s="1"/>
  <c r="G557" i="4"/>
  <c r="H557" i="4" s="1"/>
  <c r="E564" i="4"/>
  <c r="I564" i="4" s="1"/>
  <c r="J564" i="4" s="1"/>
  <c r="G564" i="4"/>
  <c r="H564" i="4" s="1"/>
  <c r="E571" i="4"/>
  <c r="I571" i="4" s="1"/>
  <c r="J571" i="4" s="1"/>
  <c r="G571" i="4"/>
  <c r="H571" i="4" s="1"/>
  <c r="E581" i="4"/>
  <c r="I581" i="4" s="1"/>
  <c r="J581" i="4" s="1"/>
  <c r="G581" i="4"/>
  <c r="H581" i="4" s="1"/>
  <c r="E592" i="4"/>
  <c r="I592" i="4" s="1"/>
  <c r="J592" i="4" s="1"/>
  <c r="G592" i="4"/>
  <c r="H592" i="4" s="1"/>
  <c r="E601" i="4"/>
  <c r="I601" i="4" s="1"/>
  <c r="J601" i="4" s="1"/>
  <c r="G601" i="4"/>
  <c r="H601" i="4" s="1"/>
  <c r="E620" i="4"/>
  <c r="I620" i="4" s="1"/>
  <c r="J620" i="4" s="1"/>
  <c r="G620" i="4"/>
  <c r="H620" i="4" s="1"/>
  <c r="E626" i="4"/>
  <c r="I626" i="4" s="1"/>
  <c r="J626" i="4" s="1"/>
  <c r="G626" i="4"/>
  <c r="H626" i="4" s="1"/>
  <c r="E637" i="4"/>
  <c r="I637" i="4" s="1"/>
  <c r="J637" i="4" s="1"/>
  <c r="G637" i="4"/>
  <c r="H637" i="4" s="1"/>
  <c r="E647" i="4"/>
  <c r="I647" i="4" s="1"/>
  <c r="J647" i="4" s="1"/>
  <c r="G647" i="4"/>
  <c r="H647" i="4" s="1"/>
  <c r="E660" i="4"/>
  <c r="I660" i="4" s="1"/>
  <c r="J660" i="4" s="1"/>
  <c r="G660" i="4"/>
  <c r="H660" i="4" s="1"/>
  <c r="E665" i="4"/>
  <c r="I665" i="4" s="1"/>
  <c r="J665" i="4" s="1"/>
  <c r="G665" i="4"/>
  <c r="H665" i="4" s="1"/>
  <c r="E670" i="4"/>
  <c r="I670" i="4" s="1"/>
  <c r="J670" i="4" s="1"/>
  <c r="G670" i="4"/>
  <c r="H670" i="4" s="1"/>
  <c r="E681" i="4"/>
  <c r="I681" i="4" s="1"/>
  <c r="J681" i="4" s="1"/>
  <c r="G681" i="4"/>
  <c r="H681" i="4" s="1"/>
  <c r="E690" i="4"/>
  <c r="I690" i="4" s="1"/>
  <c r="J690" i="4" s="1"/>
  <c r="G690" i="4"/>
  <c r="H690" i="4" s="1"/>
  <c r="E700" i="4"/>
  <c r="I700" i="4" s="1"/>
  <c r="J700" i="4" s="1"/>
  <c r="G700" i="4"/>
  <c r="H700" i="4" s="1"/>
  <c r="E710" i="4"/>
  <c r="I710" i="4" s="1"/>
  <c r="J710" i="4" s="1"/>
  <c r="G710" i="4"/>
  <c r="H710" i="4" s="1"/>
  <c r="E717" i="4"/>
  <c r="I717" i="4" s="1"/>
  <c r="J717" i="4" s="1"/>
  <c r="G717" i="4"/>
  <c r="H717" i="4" s="1"/>
  <c r="E728" i="4"/>
  <c r="I728" i="4" s="1"/>
  <c r="J728" i="4" s="1"/>
  <c r="G728" i="4"/>
  <c r="H728" i="4" s="1"/>
  <c r="E740" i="4"/>
  <c r="I740" i="4" s="1"/>
  <c r="J740" i="4" s="1"/>
  <c r="G740" i="4"/>
  <c r="H740" i="4" s="1"/>
  <c r="E746" i="4"/>
  <c r="I746" i="4" s="1"/>
  <c r="J746" i="4" s="1"/>
  <c r="G746" i="4"/>
  <c r="H746" i="4" s="1"/>
  <c r="E755" i="4"/>
  <c r="I755" i="4" s="1"/>
  <c r="J755" i="4" s="1"/>
  <c r="G755" i="4"/>
  <c r="H755" i="4" s="1"/>
  <c r="E763" i="4"/>
  <c r="I763" i="4" s="1"/>
  <c r="J763" i="4" s="1"/>
  <c r="G763" i="4"/>
  <c r="H763" i="4" s="1"/>
  <c r="E776" i="4"/>
  <c r="I776" i="4" s="1"/>
  <c r="J776" i="4" s="1"/>
  <c r="G776" i="4"/>
  <c r="H776" i="4" s="1"/>
  <c r="E51" i="4"/>
  <c r="I51" i="4" s="1"/>
  <c r="E156" i="4"/>
  <c r="I156" i="4" s="1"/>
  <c r="J156" i="4" s="1"/>
  <c r="E211" i="4"/>
  <c r="I211" i="4" s="1"/>
  <c r="E250" i="4"/>
  <c r="I250" i="4" s="1"/>
  <c r="J250" i="4" s="1"/>
  <c r="E272" i="4"/>
  <c r="I272" i="4" s="1"/>
  <c r="J272" i="4" s="1"/>
  <c r="E294" i="4"/>
  <c r="I294" i="4" s="1"/>
  <c r="J294" i="4" s="1"/>
  <c r="E316" i="4"/>
  <c r="I316" i="4" s="1"/>
  <c r="J316" i="4" s="1"/>
  <c r="E323" i="4"/>
  <c r="I323" i="4" s="1"/>
  <c r="J323" i="4" s="1"/>
  <c r="E330" i="4"/>
  <c r="I330" i="4" s="1"/>
  <c r="J330" i="4" s="1"/>
  <c r="E341" i="4"/>
  <c r="I341" i="4" s="1"/>
  <c r="J341" i="4" s="1"/>
  <c r="E348" i="4"/>
  <c r="I348" i="4" s="1"/>
  <c r="J348" i="4" s="1"/>
  <c r="E356" i="4"/>
  <c r="I356" i="4" s="1"/>
  <c r="J356" i="4" s="1"/>
  <c r="E372" i="4"/>
  <c r="I372" i="4" s="1"/>
  <c r="J372" i="4" s="1"/>
  <c r="E383" i="4"/>
  <c r="I383" i="4" s="1"/>
  <c r="J383" i="4" s="1"/>
  <c r="E393" i="4"/>
  <c r="I393" i="4" s="1"/>
  <c r="J393" i="4" s="1"/>
  <c r="E398" i="4"/>
  <c r="I398" i="4" s="1"/>
  <c r="J398" i="4" s="1"/>
  <c r="E408" i="4"/>
  <c r="I408" i="4" s="1"/>
  <c r="J408" i="4" s="1"/>
  <c r="E413" i="4"/>
  <c r="I413" i="4" s="1"/>
  <c r="J413" i="4" s="1"/>
  <c r="E422" i="4"/>
  <c r="I422" i="4" s="1"/>
  <c r="J422" i="4" s="1"/>
  <c r="E432" i="4"/>
  <c r="I432" i="4" s="1"/>
  <c r="J432" i="4" s="1"/>
  <c r="E133" i="4"/>
  <c r="I133" i="4" s="1"/>
  <c r="J133" i="4" s="1"/>
  <c r="E141" i="4"/>
  <c r="I141" i="4" s="1"/>
  <c r="J141" i="4" s="1"/>
  <c r="E150" i="4"/>
  <c r="I150" i="4" s="1"/>
  <c r="J150" i="4" s="1"/>
  <c r="E165" i="4"/>
  <c r="I165" i="4" s="1"/>
  <c r="J165" i="4" s="1"/>
  <c r="E185" i="4"/>
  <c r="I185" i="4" s="1"/>
  <c r="J185" i="4" s="1"/>
  <c r="E194" i="4"/>
  <c r="I194" i="4" s="1"/>
  <c r="J194" i="4" s="1"/>
  <c r="E204" i="4"/>
  <c r="I204" i="4" s="1"/>
  <c r="J204" i="4" s="1"/>
  <c r="E224" i="4"/>
  <c r="I224" i="4" s="1"/>
  <c r="J224" i="4" s="1"/>
  <c r="E232" i="4"/>
  <c r="I232" i="4" s="1"/>
  <c r="J232" i="4" s="1"/>
  <c r="E243" i="4"/>
  <c r="I243" i="4" s="1"/>
  <c r="J243" i="4" s="1"/>
  <c r="E257" i="4"/>
  <c r="I257" i="4" s="1"/>
  <c r="J257" i="4" s="1"/>
  <c r="E265" i="4"/>
  <c r="I265" i="4" s="1"/>
  <c r="J265" i="4" s="1"/>
  <c r="E282" i="4"/>
  <c r="I282" i="4" s="1"/>
  <c r="J282" i="4" s="1"/>
  <c r="E308" i="4"/>
  <c r="I308" i="4" s="1"/>
  <c r="J308" i="4" s="1"/>
  <c r="E48" i="4"/>
  <c r="I48" i="4" s="1"/>
  <c r="J48" i="4" s="1"/>
  <c r="E129" i="4"/>
  <c r="I129" i="4" s="1"/>
  <c r="J129" i="4" s="1"/>
  <c r="E136" i="4"/>
  <c r="I136" i="4" s="1"/>
  <c r="J136" i="4" s="1"/>
  <c r="E144" i="4"/>
  <c r="I144" i="4" s="1"/>
  <c r="J144" i="4" s="1"/>
  <c r="E155" i="4"/>
  <c r="I155" i="4" s="1"/>
  <c r="J155" i="4" s="1"/>
  <c r="E159" i="4"/>
  <c r="I159" i="4" s="1"/>
  <c r="J159" i="4" s="1"/>
  <c r="E172" i="4"/>
  <c r="I172" i="4" s="1"/>
  <c r="J172" i="4" s="1"/>
  <c r="E190" i="4"/>
  <c r="I190" i="4" s="1"/>
  <c r="J190" i="4" s="1"/>
  <c r="E199" i="4"/>
  <c r="I199" i="4" s="1"/>
  <c r="J199" i="4" s="1"/>
  <c r="E208" i="4"/>
  <c r="I208" i="4" s="1"/>
  <c r="J208" i="4" s="1"/>
  <c r="E222" i="4"/>
  <c r="I222" i="4" s="1"/>
  <c r="J222" i="4" s="1"/>
  <c r="E228" i="4"/>
  <c r="I228" i="4" s="1"/>
  <c r="J228" i="4" s="1"/>
  <c r="E235" i="4"/>
  <c r="I235" i="4" s="1"/>
  <c r="J235" i="4" s="1"/>
  <c r="E254" i="4"/>
  <c r="I254" i="4" s="1"/>
  <c r="J254" i="4" s="1"/>
  <c r="E261" i="4"/>
  <c r="I261" i="4" s="1"/>
  <c r="J261" i="4" s="1"/>
  <c r="E269" i="4"/>
  <c r="I269" i="4" s="1"/>
  <c r="J269" i="4" s="1"/>
  <c r="E278" i="4"/>
  <c r="I278" i="4" s="1"/>
  <c r="J278" i="4" s="1"/>
  <c r="E288" i="4"/>
  <c r="I288" i="4" s="1"/>
  <c r="J288" i="4" s="1"/>
  <c r="E301" i="4"/>
  <c r="I301" i="4" s="1"/>
  <c r="J301" i="4" s="1"/>
  <c r="E314" i="4"/>
  <c r="I314" i="4" s="1"/>
  <c r="J314" i="4" s="1"/>
  <c r="E318" i="4"/>
  <c r="I318" i="4" s="1"/>
  <c r="J318" i="4" s="1"/>
  <c r="E325" i="4"/>
  <c r="I325" i="4" s="1"/>
  <c r="J325" i="4" s="1"/>
  <c r="E336" i="4"/>
  <c r="I336" i="4" s="1"/>
  <c r="J336" i="4" s="1"/>
  <c r="E344" i="4"/>
  <c r="I344" i="4" s="1"/>
  <c r="J344" i="4" s="1"/>
  <c r="E352" i="4"/>
  <c r="I352" i="4" s="1"/>
  <c r="J352" i="4" s="1"/>
  <c r="E368" i="4"/>
  <c r="I368" i="4" s="1"/>
  <c r="J368" i="4" s="1"/>
  <c r="E376" i="4"/>
  <c r="I376" i="4" s="1"/>
  <c r="J376" i="4" s="1"/>
  <c r="E384" i="4"/>
  <c r="I384" i="4" s="1"/>
  <c r="J384" i="4" s="1"/>
  <c r="E396" i="4"/>
  <c r="I396" i="4" s="1"/>
  <c r="J396" i="4" s="1"/>
  <c r="E403" i="4"/>
  <c r="I403" i="4" s="1"/>
  <c r="J403" i="4" s="1"/>
  <c r="E411" i="4"/>
  <c r="I411" i="4" s="1"/>
  <c r="J411" i="4" s="1"/>
  <c r="E418" i="4"/>
  <c r="I418" i="4" s="1"/>
  <c r="J418" i="4" s="1"/>
  <c r="E427" i="4"/>
  <c r="I427" i="4" s="1"/>
  <c r="J427" i="4" s="1"/>
  <c r="E10" i="7"/>
  <c r="I10" i="7" s="1"/>
  <c r="J10" i="7" s="1"/>
  <c r="G10" i="7"/>
  <c r="H10" i="7" s="1"/>
  <c r="E17" i="7"/>
  <c r="J17" i="7" s="1"/>
  <c r="G17" i="7"/>
  <c r="H17" i="7" s="1"/>
  <c r="E23" i="7"/>
  <c r="J23" i="7" s="1"/>
  <c r="G23" i="7"/>
  <c r="H23" i="7" s="1"/>
  <c r="E32" i="7"/>
  <c r="I32" i="7" s="1"/>
  <c r="J32" i="7" s="1"/>
  <c r="G32" i="7"/>
  <c r="H32" i="7" s="1"/>
  <c r="E42" i="7"/>
  <c r="I42" i="7" s="1"/>
  <c r="J42" i="7" s="1"/>
  <c r="G42" i="7"/>
  <c r="H42" i="7" s="1"/>
  <c r="E68" i="7"/>
  <c r="I68" i="7" s="1"/>
  <c r="J68" i="7" s="1"/>
  <c r="G68" i="7"/>
  <c r="H68" i="7" s="1"/>
  <c r="E7" i="7"/>
  <c r="I7" i="7" s="1"/>
  <c r="J7" i="7" s="1"/>
  <c r="G7" i="7"/>
  <c r="H7" i="7" s="1"/>
  <c r="E14" i="7"/>
  <c r="I14" i="7" s="1"/>
  <c r="J14" i="7" s="1"/>
  <c r="G14" i="7"/>
  <c r="H14" i="7" s="1"/>
  <c r="E20" i="7"/>
  <c r="J20" i="7" s="1"/>
  <c r="G20" i="7"/>
  <c r="H20" i="7" s="1"/>
  <c r="E30" i="7"/>
  <c r="I30" i="7" s="1"/>
  <c r="J30" i="7" s="1"/>
  <c r="G30" i="7"/>
  <c r="H30" i="7" s="1"/>
  <c r="E37" i="7"/>
  <c r="J37" i="7" s="1"/>
  <c r="G37" i="7"/>
  <c r="H37" i="7" s="1"/>
  <c r="E63" i="7"/>
  <c r="G63" i="7"/>
  <c r="H63" i="7" s="1"/>
  <c r="E84" i="7"/>
  <c r="I84" i="7" s="1"/>
  <c r="J84" i="7" s="1"/>
  <c r="G84" i="7"/>
  <c r="H84" i="7" s="1"/>
  <c r="E117" i="12"/>
  <c r="I117" i="12" s="1"/>
  <c r="J117" i="12" s="1"/>
  <c r="E7" i="12"/>
  <c r="I7" i="12" s="1"/>
  <c r="J7" i="12" s="1"/>
  <c r="E51" i="12"/>
  <c r="I51" i="12" s="1"/>
  <c r="J51" i="12" s="1"/>
  <c r="E109" i="12"/>
  <c r="I109" i="12" s="1"/>
  <c r="E27" i="12"/>
  <c r="I27" i="12" s="1"/>
  <c r="J27" i="12" s="1"/>
  <c r="E70" i="12"/>
  <c r="I70" i="12" s="1"/>
  <c r="J70" i="12" s="1"/>
  <c r="E79" i="12"/>
  <c r="I79" i="12" s="1"/>
  <c r="J79" i="12" s="1"/>
  <c r="E103" i="12"/>
  <c r="I103" i="12" s="1"/>
  <c r="J103" i="12" s="1"/>
  <c r="E114" i="12"/>
  <c r="I114" i="12" s="1"/>
  <c r="B6" i="12"/>
  <c r="G6" i="12" s="1"/>
  <c r="H6" i="12" s="1"/>
  <c r="B214" i="4"/>
  <c r="G214" i="4" s="1"/>
  <c r="H214" i="4" s="1"/>
  <c r="B238" i="4"/>
  <c r="G238" i="4" s="1"/>
  <c r="H238" i="4" s="1"/>
  <c r="B87" i="12"/>
  <c r="G87" i="12" s="1"/>
  <c r="H87" i="12" s="1"/>
  <c r="B158" i="4"/>
  <c r="G158" i="4" s="1"/>
  <c r="H158" i="4" s="1"/>
  <c r="B591" i="4"/>
  <c r="B473" i="4"/>
  <c r="B355" i="4"/>
  <c r="G355" i="4" s="1"/>
  <c r="H355" i="4" s="1"/>
  <c r="B585" i="4"/>
  <c r="B260" i="4"/>
  <c r="G260" i="4" s="1"/>
  <c r="H260" i="4" s="1"/>
  <c r="B300" i="4"/>
  <c r="G300" i="4" s="1"/>
  <c r="H300" i="4" s="1"/>
  <c r="B41" i="7"/>
  <c r="B140" i="4"/>
  <c r="G140" i="4" s="1"/>
  <c r="H140" i="4" s="1"/>
  <c r="B380" i="4"/>
  <c r="G380" i="4" s="1"/>
  <c r="H380" i="4" s="1"/>
  <c r="B491" i="4"/>
  <c r="B646" i="4"/>
  <c r="B754" i="4"/>
  <c r="B62" i="7"/>
  <c r="B766" i="4"/>
  <c r="B25" i="12"/>
  <c r="G25" i="12" s="1"/>
  <c r="H25" i="12" s="1"/>
  <c r="B494" i="4"/>
  <c r="B181" i="4"/>
  <c r="G181" i="4" s="1"/>
  <c r="H181" i="4" s="1"/>
  <c r="B392" i="4"/>
  <c r="G392" i="4" s="1"/>
  <c r="H392" i="4" s="1"/>
  <c r="B498" i="4"/>
  <c r="B83" i="7"/>
  <c r="B675" i="4"/>
  <c r="B47" i="4"/>
  <c r="G47" i="4" s="1"/>
  <c r="H47" i="4" s="1"/>
  <c r="B154" i="4"/>
  <c r="G154" i="4" s="1"/>
  <c r="H154" i="4" s="1"/>
  <c r="B277" i="4"/>
  <c r="G277" i="4" s="1"/>
  <c r="H277" i="4" s="1"/>
  <c r="B436" i="4"/>
  <c r="G436" i="4" s="1"/>
  <c r="H436" i="4" s="1"/>
  <c r="B514" i="4"/>
  <c r="B417" i="4"/>
  <c r="G417" i="4" s="1"/>
  <c r="H417" i="4" s="1"/>
  <c r="B759" i="4"/>
  <c r="B775" i="4"/>
  <c r="B112" i="12"/>
  <c r="G112" i="12" s="1"/>
  <c r="H112" i="12" s="1"/>
  <c r="B176" i="4"/>
  <c r="G176" i="4" s="1"/>
  <c r="H176" i="4" s="1"/>
  <c r="B467" i="4"/>
  <c r="B506" i="4"/>
  <c r="B193" i="4"/>
  <c r="G193" i="4" s="1"/>
  <c r="H193" i="4" s="1"/>
  <c r="B128" i="4"/>
  <c r="G128" i="4" s="1"/>
  <c r="H128" i="4" s="1"/>
  <c r="B335" i="4"/>
  <c r="G335" i="4" s="1"/>
  <c r="H335" i="4" s="1"/>
  <c r="B575" i="4"/>
  <c r="B67" i="7"/>
  <c r="B184" i="4"/>
  <c r="G184" i="4" s="1"/>
  <c r="H184" i="4" s="1"/>
  <c r="B542" i="4"/>
  <c r="B402" i="4"/>
  <c r="G402" i="4" s="1"/>
  <c r="H402" i="4" s="1"/>
  <c r="B42" i="12"/>
  <c r="G42" i="12" s="1"/>
  <c r="H42" i="12" s="1"/>
  <c r="B29" i="7"/>
  <c r="B527" i="4"/>
  <c r="B709" i="4"/>
  <c r="B164" i="4"/>
  <c r="G164" i="4" s="1"/>
  <c r="H164" i="4" s="1"/>
  <c r="B307" i="4"/>
  <c r="G307" i="4" s="1"/>
  <c r="H307" i="4" s="1"/>
  <c r="B347" i="4"/>
  <c r="G347" i="4" s="1"/>
  <c r="H347" i="4" s="1"/>
  <c r="B426" i="4"/>
  <c r="G426" i="4" s="1"/>
  <c r="H426" i="4" s="1"/>
  <c r="B657" i="4"/>
  <c r="B249" i="4"/>
  <c r="G249" i="4" s="1"/>
  <c r="H249" i="4" s="1"/>
  <c r="B264" i="4"/>
  <c r="G264" i="4" s="1"/>
  <c r="H264" i="4" s="1"/>
  <c r="B568" i="4"/>
  <c r="B616" i="4"/>
  <c r="B287" i="4"/>
  <c r="G287" i="4" s="1"/>
  <c r="H287" i="4" s="1"/>
  <c r="B13" i="7"/>
  <c r="B6" i="7"/>
  <c r="B203" i="4"/>
  <c r="G203" i="4" s="1"/>
  <c r="H203" i="4" s="1"/>
  <c r="B227" i="4"/>
  <c r="G227" i="4" s="1"/>
  <c r="H227" i="4" s="1"/>
  <c r="B322" i="4"/>
  <c r="G322" i="4" s="1"/>
  <c r="H322" i="4" s="1"/>
  <c r="B553" i="4"/>
  <c r="B630" i="4"/>
  <c r="B739" i="4"/>
  <c r="B453" i="4"/>
  <c r="B597" i="4"/>
  <c r="B685" i="4"/>
  <c r="B695" i="4"/>
  <c r="B721" i="4"/>
  <c r="B367" i="4"/>
  <c r="G367" i="4" s="1"/>
  <c r="H367" i="4" s="1"/>
  <c r="E695" i="4" l="1"/>
  <c r="I695" i="4" s="1"/>
  <c r="J695" i="4" s="1"/>
  <c r="G695" i="4"/>
  <c r="H695" i="4" s="1"/>
  <c r="E739" i="4"/>
  <c r="I739" i="4" s="1"/>
  <c r="J739" i="4" s="1"/>
  <c r="G739" i="4"/>
  <c r="H739" i="4" s="1"/>
  <c r="E568" i="4"/>
  <c r="I568" i="4" s="1"/>
  <c r="J568" i="4" s="1"/>
  <c r="G568" i="4"/>
  <c r="H568" i="4" s="1"/>
  <c r="E721" i="4"/>
  <c r="I721" i="4" s="1"/>
  <c r="J721" i="4" s="1"/>
  <c r="G721" i="4"/>
  <c r="H721" i="4" s="1"/>
  <c r="E685" i="4"/>
  <c r="I685" i="4" s="1"/>
  <c r="J685" i="4" s="1"/>
  <c r="G685" i="4"/>
  <c r="H685" i="4" s="1"/>
  <c r="E453" i="4"/>
  <c r="I453" i="4" s="1"/>
  <c r="J453" i="4" s="1"/>
  <c r="G453" i="4"/>
  <c r="H453" i="4" s="1"/>
  <c r="E630" i="4"/>
  <c r="I630" i="4" s="1"/>
  <c r="J630" i="4" s="1"/>
  <c r="G630" i="4"/>
  <c r="H630" i="4" s="1"/>
  <c r="E616" i="4"/>
  <c r="I616" i="4" s="1"/>
  <c r="J616" i="4" s="1"/>
  <c r="G616" i="4"/>
  <c r="H616" i="4" s="1"/>
  <c r="E657" i="4"/>
  <c r="I657" i="4" s="1"/>
  <c r="J657" i="4" s="1"/>
  <c r="G657" i="4"/>
  <c r="H657" i="4" s="1"/>
  <c r="E527" i="4"/>
  <c r="I527" i="4" s="1"/>
  <c r="J527" i="4" s="1"/>
  <c r="G527" i="4"/>
  <c r="H527" i="4" s="1"/>
  <c r="E542" i="4"/>
  <c r="I542" i="4" s="1"/>
  <c r="J542" i="4" s="1"/>
  <c r="G542" i="4"/>
  <c r="H542" i="4" s="1"/>
  <c r="E467" i="4"/>
  <c r="I467" i="4" s="1"/>
  <c r="J467" i="4" s="1"/>
  <c r="G467" i="4"/>
  <c r="H467" i="4" s="1"/>
  <c r="E759" i="4"/>
  <c r="I759" i="4" s="1"/>
  <c r="J759" i="4" s="1"/>
  <c r="G759" i="4"/>
  <c r="H759" i="4" s="1"/>
  <c r="E514" i="4"/>
  <c r="I514" i="4" s="1"/>
  <c r="J514" i="4" s="1"/>
  <c r="G514" i="4"/>
  <c r="H514" i="4" s="1"/>
  <c r="E498" i="4"/>
  <c r="I498" i="4" s="1"/>
  <c r="J498" i="4" s="1"/>
  <c r="G498" i="4"/>
  <c r="H498" i="4" s="1"/>
  <c r="E646" i="4"/>
  <c r="I646" i="4" s="1"/>
  <c r="J646" i="4" s="1"/>
  <c r="G646" i="4"/>
  <c r="H646" i="4" s="1"/>
  <c r="E591" i="4"/>
  <c r="I591" i="4" s="1"/>
  <c r="J591" i="4" s="1"/>
  <c r="G591" i="4"/>
  <c r="H591" i="4" s="1"/>
  <c r="E597" i="4"/>
  <c r="I597" i="4" s="1"/>
  <c r="J597" i="4" s="1"/>
  <c r="G597" i="4"/>
  <c r="H597" i="4" s="1"/>
  <c r="E553" i="4"/>
  <c r="I553" i="4" s="1"/>
  <c r="J553" i="4" s="1"/>
  <c r="G553" i="4"/>
  <c r="H553" i="4" s="1"/>
  <c r="E709" i="4"/>
  <c r="I709" i="4" s="1"/>
  <c r="J709" i="4" s="1"/>
  <c r="G709" i="4"/>
  <c r="H709" i="4" s="1"/>
  <c r="E575" i="4"/>
  <c r="I575" i="4" s="1"/>
  <c r="J575" i="4" s="1"/>
  <c r="G575" i="4"/>
  <c r="H575" i="4" s="1"/>
  <c r="E506" i="4"/>
  <c r="I506" i="4" s="1"/>
  <c r="J506" i="4" s="1"/>
  <c r="G506" i="4"/>
  <c r="H506" i="4" s="1"/>
  <c r="E775" i="4"/>
  <c r="I775" i="4" s="1"/>
  <c r="J775" i="4" s="1"/>
  <c r="G775" i="4"/>
  <c r="H775" i="4" s="1"/>
  <c r="E675" i="4"/>
  <c r="I675" i="4" s="1"/>
  <c r="J675" i="4" s="1"/>
  <c r="G675" i="4"/>
  <c r="H675" i="4" s="1"/>
  <c r="E494" i="4"/>
  <c r="I494" i="4" s="1"/>
  <c r="J494" i="4" s="1"/>
  <c r="G494" i="4"/>
  <c r="H494" i="4" s="1"/>
  <c r="E766" i="4"/>
  <c r="I766" i="4" s="1"/>
  <c r="J766" i="4" s="1"/>
  <c r="G766" i="4"/>
  <c r="H766" i="4" s="1"/>
  <c r="E754" i="4"/>
  <c r="I754" i="4" s="1"/>
  <c r="J754" i="4" s="1"/>
  <c r="G754" i="4"/>
  <c r="H754" i="4" s="1"/>
  <c r="E491" i="4"/>
  <c r="I491" i="4" s="1"/>
  <c r="J491" i="4" s="1"/>
  <c r="G491" i="4"/>
  <c r="H491" i="4" s="1"/>
  <c r="E585" i="4"/>
  <c r="I585" i="4" s="1"/>
  <c r="J585" i="4" s="1"/>
  <c r="G585" i="4"/>
  <c r="H585" i="4" s="1"/>
  <c r="E473" i="4"/>
  <c r="I473" i="4" s="1"/>
  <c r="J473" i="4" s="1"/>
  <c r="G473" i="4"/>
  <c r="H473" i="4" s="1"/>
  <c r="E227" i="4"/>
  <c r="I227" i="4" s="1"/>
  <c r="J227" i="4" s="1"/>
  <c r="E287" i="4"/>
  <c r="I287" i="4" s="1"/>
  <c r="J287" i="4" s="1"/>
  <c r="E426" i="4"/>
  <c r="I426" i="4" s="1"/>
  <c r="J426" i="4" s="1"/>
  <c r="E184" i="4"/>
  <c r="I184" i="4" s="1"/>
  <c r="J184" i="4" s="1"/>
  <c r="E128" i="4"/>
  <c r="I128" i="4" s="1"/>
  <c r="J128" i="4" s="1"/>
  <c r="E176" i="4"/>
  <c r="I176" i="4" s="1"/>
  <c r="J176" i="4" s="1"/>
  <c r="E154" i="4"/>
  <c r="I154" i="4" s="1"/>
  <c r="J154" i="4" s="1"/>
  <c r="E140" i="4"/>
  <c r="I140" i="4" s="1"/>
  <c r="J140" i="4" s="1"/>
  <c r="E300" i="4"/>
  <c r="I300" i="4" s="1"/>
  <c r="J300" i="4" s="1"/>
  <c r="E158" i="4"/>
  <c r="I158" i="4" s="1"/>
  <c r="J158" i="4" s="1"/>
  <c r="E238" i="4"/>
  <c r="I238" i="4" s="1"/>
  <c r="J238" i="4" s="1"/>
  <c r="E367" i="4"/>
  <c r="E249" i="4"/>
  <c r="I249" i="4" s="1"/>
  <c r="J249" i="4" s="1"/>
  <c r="E307" i="4"/>
  <c r="I307" i="4" s="1"/>
  <c r="J307" i="4" s="1"/>
  <c r="E402" i="4"/>
  <c r="I402" i="4" s="1"/>
  <c r="J402" i="4" s="1"/>
  <c r="E417" i="4"/>
  <c r="I417" i="4" s="1"/>
  <c r="J417" i="4" s="1"/>
  <c r="E436" i="4"/>
  <c r="E392" i="4"/>
  <c r="I392" i="4" s="1"/>
  <c r="J392" i="4" s="1"/>
  <c r="E322" i="4"/>
  <c r="I322" i="4" s="1"/>
  <c r="J322" i="4" s="1"/>
  <c r="E203" i="4"/>
  <c r="I203" i="4" s="1"/>
  <c r="J203" i="4" s="1"/>
  <c r="E264" i="4"/>
  <c r="I264" i="4" s="1"/>
  <c r="J264" i="4" s="1"/>
  <c r="E347" i="4"/>
  <c r="I347" i="4" s="1"/>
  <c r="J347" i="4" s="1"/>
  <c r="E164" i="4"/>
  <c r="I164" i="4" s="1"/>
  <c r="J164" i="4" s="1"/>
  <c r="E335" i="4"/>
  <c r="I335" i="4" s="1"/>
  <c r="J335" i="4" s="1"/>
  <c r="E193" i="4"/>
  <c r="I193" i="4" s="1"/>
  <c r="J193" i="4" s="1"/>
  <c r="E277" i="4"/>
  <c r="I277" i="4" s="1"/>
  <c r="J277" i="4" s="1"/>
  <c r="E47" i="4"/>
  <c r="E181" i="4"/>
  <c r="I181" i="4" s="1"/>
  <c r="J181" i="4" s="1"/>
  <c r="E380" i="4"/>
  <c r="I380" i="4" s="1"/>
  <c r="J380" i="4" s="1"/>
  <c r="E260" i="4"/>
  <c r="I260" i="4" s="1"/>
  <c r="J260" i="4" s="1"/>
  <c r="E355" i="4"/>
  <c r="I355" i="4" s="1"/>
  <c r="J355" i="4" s="1"/>
  <c r="E214" i="4"/>
  <c r="I214" i="4" s="1"/>
  <c r="J214" i="4" s="1"/>
  <c r="E13" i="7"/>
  <c r="I13" i="7" s="1"/>
  <c r="J13" i="7" s="1"/>
  <c r="G13" i="7"/>
  <c r="H13" i="7" s="1"/>
  <c r="E67" i="7"/>
  <c r="I67" i="7" s="1"/>
  <c r="J67" i="7" s="1"/>
  <c r="G67" i="7"/>
  <c r="H67" i="7" s="1"/>
  <c r="E41" i="7"/>
  <c r="G41" i="7"/>
  <c r="H41" i="7" s="1"/>
  <c r="E6" i="7"/>
  <c r="G6" i="7"/>
  <c r="H6" i="7" s="1"/>
  <c r="E29" i="7"/>
  <c r="I29" i="7" s="1"/>
  <c r="J29" i="7" s="1"/>
  <c r="G29" i="7"/>
  <c r="H29" i="7" s="1"/>
  <c r="E83" i="7"/>
  <c r="I83" i="7" s="1"/>
  <c r="J83" i="7" s="1"/>
  <c r="G83" i="7"/>
  <c r="H83" i="7" s="1"/>
  <c r="E62" i="7"/>
  <c r="I62" i="7" s="1"/>
  <c r="J62" i="7" s="1"/>
  <c r="G62" i="7"/>
  <c r="H62" i="7" s="1"/>
  <c r="E25" i="12"/>
  <c r="I25" i="12" s="1"/>
  <c r="J25" i="12" s="1"/>
  <c r="E87" i="12"/>
  <c r="I87" i="12" s="1"/>
  <c r="J87" i="12" s="1"/>
  <c r="E42" i="12"/>
  <c r="I42" i="12" s="1"/>
  <c r="J42" i="12" s="1"/>
  <c r="E112" i="12"/>
  <c r="I112" i="12" s="1"/>
  <c r="J112" i="12" s="1"/>
  <c r="E6" i="12"/>
  <c r="I6" i="12" s="1"/>
  <c r="J6" i="12" s="1"/>
  <c r="F93" i="7"/>
  <c r="B5" i="12"/>
  <c r="B35" i="7"/>
  <c r="I41" i="7"/>
  <c r="B55" i="12"/>
  <c r="G55" i="12" s="1"/>
  <c r="H55" i="12" s="1"/>
  <c r="B483" i="4"/>
  <c r="D10" i="17"/>
  <c r="J10" i="17" s="1"/>
  <c r="K10" i="17" s="1"/>
  <c r="B139" i="4"/>
  <c r="G139" i="4" s="1"/>
  <c r="H139" i="4" s="1"/>
  <c r="D1847" i="17"/>
  <c r="B50" i="6"/>
  <c r="C50" i="6"/>
  <c r="D923" i="17"/>
  <c r="B792" i="4"/>
  <c r="G792" i="4" s="1"/>
  <c r="H792" i="4" s="1"/>
  <c r="D1185" i="17"/>
  <c r="B795" i="4"/>
  <c r="G795" i="4" s="1"/>
  <c r="H795" i="4" s="1"/>
  <c r="B785" i="4"/>
  <c r="G785" i="4" s="1"/>
  <c r="H785" i="4" s="1"/>
  <c r="B149" i="4"/>
  <c r="G149" i="4" s="1"/>
  <c r="H149" i="4" s="1"/>
  <c r="D300" i="17"/>
  <c r="B788" i="4"/>
  <c r="G788" i="4" s="1"/>
  <c r="H788" i="4" s="1"/>
  <c r="B379" i="4"/>
  <c r="G379" i="4" s="1"/>
  <c r="H379" i="4" s="1"/>
  <c r="B41" i="12"/>
  <c r="B107" i="12"/>
  <c r="G107" i="12" s="1"/>
  <c r="H107" i="12" s="1"/>
  <c r="B389" i="4"/>
  <c r="G389" i="4" s="1"/>
  <c r="H389" i="4" s="1"/>
  <c r="B175" i="4"/>
  <c r="G175" i="4" s="1"/>
  <c r="H175" i="4" s="1"/>
  <c r="B451" i="4"/>
  <c r="B707" i="4"/>
  <c r="B655" i="4"/>
  <c r="B737" i="4"/>
  <c r="B614" i="4"/>
  <c r="B275" i="4"/>
  <c r="G275" i="4" s="1"/>
  <c r="H275" i="4" s="1"/>
  <c r="B525" i="4"/>
  <c r="B551" i="4"/>
  <c r="H300" i="17" l="1"/>
  <c r="L300" i="17" s="1"/>
  <c r="M300" i="17" s="1"/>
  <c r="J300" i="17"/>
  <c r="K300" i="17" s="1"/>
  <c r="H1185" i="17"/>
  <c r="L1185" i="17" s="1"/>
  <c r="M1185" i="17" s="1"/>
  <c r="J1185" i="17"/>
  <c r="K1185" i="17" s="1"/>
  <c r="H923" i="17"/>
  <c r="L923" i="17" s="1"/>
  <c r="M923" i="17" s="1"/>
  <c r="J923" i="17"/>
  <c r="K923" i="17" s="1"/>
  <c r="H1847" i="17"/>
  <c r="L1847" i="17" s="1"/>
  <c r="M1847" i="17" s="1"/>
  <c r="J1847" i="17"/>
  <c r="K1847" i="17" s="1"/>
  <c r="E41" i="12"/>
  <c r="I41" i="12" s="1"/>
  <c r="J41" i="12" s="1"/>
  <c r="G41" i="12"/>
  <c r="H41" i="12" s="1"/>
  <c r="E5" i="12"/>
  <c r="I5" i="12" s="1"/>
  <c r="J5" i="12" s="1"/>
  <c r="G5" i="12"/>
  <c r="H5" i="12" s="1"/>
  <c r="E551" i="4"/>
  <c r="G551" i="4"/>
  <c r="H551" i="4" s="1"/>
  <c r="E737" i="4"/>
  <c r="G737" i="4"/>
  <c r="H737" i="4" s="1"/>
  <c r="E707" i="4"/>
  <c r="G707" i="4"/>
  <c r="H707" i="4" s="1"/>
  <c r="E525" i="4"/>
  <c r="G525" i="4"/>
  <c r="H525" i="4" s="1"/>
  <c r="E614" i="4"/>
  <c r="G614" i="4"/>
  <c r="H614" i="4" s="1"/>
  <c r="E655" i="4"/>
  <c r="G655" i="4"/>
  <c r="H655" i="4" s="1"/>
  <c r="E451" i="4"/>
  <c r="G451" i="4"/>
  <c r="H451" i="4" s="1"/>
  <c r="E792" i="4"/>
  <c r="I792" i="4" s="1"/>
  <c r="J792" i="4" s="1"/>
  <c r="I367" i="4"/>
  <c r="J367" i="4" s="1"/>
  <c r="E483" i="4"/>
  <c r="I483" i="4" s="1"/>
  <c r="J483" i="4" s="1"/>
  <c r="G483" i="4"/>
  <c r="H483" i="4" s="1"/>
  <c r="E788" i="4"/>
  <c r="I788" i="4" s="1"/>
  <c r="J788" i="4" s="1"/>
  <c r="I47" i="4"/>
  <c r="J47" i="4" s="1"/>
  <c r="E795" i="4"/>
  <c r="I795" i="4" s="1"/>
  <c r="J795" i="4" s="1"/>
  <c r="I436" i="4"/>
  <c r="J436" i="4" s="1"/>
  <c r="E275" i="4"/>
  <c r="E379" i="4"/>
  <c r="E139" i="4"/>
  <c r="I139" i="4" s="1"/>
  <c r="J139" i="4" s="1"/>
  <c r="E175" i="4"/>
  <c r="I175" i="4" s="1"/>
  <c r="J175" i="4" s="1"/>
  <c r="E389" i="4"/>
  <c r="I389" i="4" s="1"/>
  <c r="J389" i="4" s="1"/>
  <c r="E149" i="4"/>
  <c r="I149" i="4" s="1"/>
  <c r="J149" i="4" s="1"/>
  <c r="E35" i="7"/>
  <c r="E93" i="7" s="1"/>
  <c r="G35" i="7"/>
  <c r="H35" i="7" s="1"/>
  <c r="I6" i="7"/>
  <c r="J6" i="7" s="1"/>
  <c r="E107" i="12"/>
  <c r="I107" i="12" s="1"/>
  <c r="J107" i="12" s="1"/>
  <c r="E55" i="12"/>
  <c r="I55" i="12" s="1"/>
  <c r="J55" i="12" s="1"/>
  <c r="H10" i="17"/>
  <c r="L10" i="17" s="1"/>
  <c r="M10" i="17" s="1"/>
  <c r="I63" i="7"/>
  <c r="J63" i="7" s="1"/>
  <c r="I35" i="7"/>
  <c r="J35" i="7" s="1"/>
  <c r="J41" i="7"/>
  <c r="D1187" i="17"/>
  <c r="B93" i="7"/>
  <c r="G93" i="7" s="1"/>
  <c r="H93" i="7" s="1"/>
  <c r="C52" i="6"/>
  <c r="B52" i="6"/>
  <c r="D1904" i="17"/>
  <c r="D11" i="17"/>
  <c r="B481" i="4"/>
  <c r="D1907" i="17"/>
  <c r="C51" i="6"/>
  <c r="D51" i="6" s="1"/>
  <c r="D1912" i="17"/>
  <c r="B387" i="4"/>
  <c r="G387" i="4" s="1"/>
  <c r="H387" i="4" s="1"/>
  <c r="D924" i="17"/>
  <c r="D1495" i="17"/>
  <c r="B801" i="4"/>
  <c r="G801" i="4" s="1"/>
  <c r="H801" i="4" s="1"/>
  <c r="B126" i="4"/>
  <c r="G126" i="4" s="1"/>
  <c r="H126" i="4" s="1"/>
  <c r="D1423" i="17"/>
  <c r="B800" i="4"/>
  <c r="G800" i="4" s="1"/>
  <c r="H800" i="4" s="1"/>
  <c r="D1556" i="17"/>
  <c r="B802" i="4"/>
  <c r="G802" i="4" s="1"/>
  <c r="H802" i="4" s="1"/>
  <c r="D302" i="17"/>
  <c r="D1680" i="17"/>
  <c r="B804" i="4"/>
  <c r="G804" i="4" s="1"/>
  <c r="H804" i="4" s="1"/>
  <c r="D975" i="17"/>
  <c r="J975" i="17" s="1"/>
  <c r="K975" i="17" s="1"/>
  <c r="B793" i="4"/>
  <c r="G793" i="4" s="1"/>
  <c r="H793" i="4" s="1"/>
  <c r="D1916" i="17"/>
  <c r="D1232" i="17"/>
  <c r="B797" i="4"/>
  <c r="G797" i="4" s="1"/>
  <c r="H797" i="4" s="1"/>
  <c r="B54" i="12"/>
  <c r="D1372" i="17"/>
  <c r="B799" i="4"/>
  <c r="G799" i="4" s="1"/>
  <c r="H799" i="4" s="1"/>
  <c r="B791" i="4"/>
  <c r="G791" i="4" s="1"/>
  <c r="H791" i="4" s="1"/>
  <c r="D1628" i="17"/>
  <c r="B803" i="4"/>
  <c r="G803" i="4" s="1"/>
  <c r="H803" i="4" s="1"/>
  <c r="B19" i="11"/>
  <c r="H1372" i="17" l="1"/>
  <c r="L1372" i="17" s="1"/>
  <c r="M1372" i="17" s="1"/>
  <c r="J1372" i="17"/>
  <c r="K1372" i="17" s="1"/>
  <c r="H1680" i="17"/>
  <c r="L1680" i="17" s="1"/>
  <c r="M1680" i="17" s="1"/>
  <c r="J1680" i="17"/>
  <c r="K1680" i="17" s="1"/>
  <c r="H1628" i="17"/>
  <c r="L1628" i="17" s="1"/>
  <c r="M1628" i="17" s="1"/>
  <c r="J1628" i="17"/>
  <c r="K1628" i="17" s="1"/>
  <c r="H1232" i="17"/>
  <c r="L1232" i="17" s="1"/>
  <c r="M1232" i="17" s="1"/>
  <c r="J1232" i="17"/>
  <c r="K1232" i="17" s="1"/>
  <c r="H1556" i="17"/>
  <c r="L1556" i="17" s="1"/>
  <c r="M1556" i="17" s="1"/>
  <c r="J1556" i="17"/>
  <c r="K1556" i="17" s="1"/>
  <c r="H1423" i="17"/>
  <c r="L1423" i="17" s="1"/>
  <c r="M1423" i="17" s="1"/>
  <c r="J1423" i="17"/>
  <c r="K1423" i="17" s="1"/>
  <c r="H1495" i="17"/>
  <c r="L1495" i="17" s="1"/>
  <c r="M1495" i="17" s="1"/>
  <c r="J1495" i="17"/>
  <c r="K1495" i="17" s="1"/>
  <c r="H924" i="17"/>
  <c r="L924" i="17" s="1"/>
  <c r="M924" i="17" s="1"/>
  <c r="J924" i="17"/>
  <c r="K924" i="17" s="1"/>
  <c r="H1904" i="17"/>
  <c r="L1904" i="17" s="1"/>
  <c r="M1904" i="17" s="1"/>
  <c r="J1904" i="17"/>
  <c r="K1904" i="17" s="1"/>
  <c r="H1187" i="17"/>
  <c r="L1187" i="17" s="1"/>
  <c r="M1187" i="17" s="1"/>
  <c r="J1187" i="17"/>
  <c r="K1187" i="17" s="1"/>
  <c r="H302" i="17"/>
  <c r="L302" i="17" s="1"/>
  <c r="M302" i="17" s="1"/>
  <c r="J302" i="17"/>
  <c r="K302" i="17" s="1"/>
  <c r="H1912" i="17"/>
  <c r="L1912" i="17" s="1"/>
  <c r="M1912" i="17" s="1"/>
  <c r="J1912" i="17"/>
  <c r="K1912" i="17" s="1"/>
  <c r="H1916" i="17"/>
  <c r="L1916" i="17" s="1"/>
  <c r="M1916" i="17" s="1"/>
  <c r="J1916" i="17"/>
  <c r="K1916" i="17" s="1"/>
  <c r="H1907" i="17"/>
  <c r="L1907" i="17" s="1"/>
  <c r="M1907" i="17" s="1"/>
  <c r="J1907" i="17"/>
  <c r="K1907" i="17" s="1"/>
  <c r="H11" i="17"/>
  <c r="L11" i="17" s="1"/>
  <c r="M11" i="17" s="1"/>
  <c r="J11" i="17"/>
  <c r="K11" i="17" s="1"/>
  <c r="E54" i="12"/>
  <c r="I54" i="12" s="1"/>
  <c r="J54" i="12" s="1"/>
  <c r="G54" i="12"/>
  <c r="H54" i="12" s="1"/>
  <c r="E793" i="4"/>
  <c r="I793" i="4" s="1"/>
  <c r="J793" i="4" s="1"/>
  <c r="I379" i="4"/>
  <c r="J379" i="4" s="1"/>
  <c r="E481" i="4"/>
  <c r="G481" i="4"/>
  <c r="H481" i="4" s="1"/>
  <c r="E791" i="4"/>
  <c r="I791" i="4" s="1"/>
  <c r="J791" i="4" s="1"/>
  <c r="I275" i="4"/>
  <c r="J275" i="4" s="1"/>
  <c r="E797" i="4"/>
  <c r="I797" i="4" s="1"/>
  <c r="J797" i="4" s="1"/>
  <c r="I451" i="4"/>
  <c r="J451" i="4" s="1"/>
  <c r="E802" i="4"/>
  <c r="I802" i="4" s="1"/>
  <c r="J802" i="4" s="1"/>
  <c r="I655" i="4"/>
  <c r="J655" i="4" s="1"/>
  <c r="E801" i="4"/>
  <c r="I801" i="4" s="1"/>
  <c r="J801" i="4" s="1"/>
  <c r="I614" i="4"/>
  <c r="J614" i="4" s="1"/>
  <c r="E799" i="4"/>
  <c r="I799" i="4" s="1"/>
  <c r="J799" i="4" s="1"/>
  <c r="I525" i="4"/>
  <c r="J525" i="4" s="1"/>
  <c r="E803" i="4"/>
  <c r="I803" i="4" s="1"/>
  <c r="J803" i="4" s="1"/>
  <c r="I707" i="4"/>
  <c r="J707" i="4" s="1"/>
  <c r="E804" i="4"/>
  <c r="I804" i="4" s="1"/>
  <c r="J804" i="4" s="1"/>
  <c r="I737" i="4"/>
  <c r="J737" i="4" s="1"/>
  <c r="E800" i="4"/>
  <c r="I800" i="4" s="1"/>
  <c r="J800" i="4" s="1"/>
  <c r="I551" i="4"/>
  <c r="J551" i="4" s="1"/>
  <c r="E126" i="4"/>
  <c r="E387" i="4"/>
  <c r="K51" i="6"/>
  <c r="Q51" i="6" s="1"/>
  <c r="R51" i="6" s="1"/>
  <c r="O51" i="6"/>
  <c r="P51" i="6" s="1"/>
  <c r="H975" i="17"/>
  <c r="L975" i="17" s="1"/>
  <c r="M975" i="17" s="1"/>
  <c r="B782" i="4"/>
  <c r="N31" i="6"/>
  <c r="L30" i="6"/>
  <c r="D1184" i="17"/>
  <c r="C11" i="15"/>
  <c r="C10" i="15"/>
  <c r="I93" i="7"/>
  <c r="J93" i="7" s="1"/>
  <c r="D1857" i="17"/>
  <c r="D9" i="17"/>
  <c r="D299" i="17"/>
  <c r="B798" i="4"/>
  <c r="G798" i="4" s="1"/>
  <c r="H798" i="4" s="1"/>
  <c r="D1287" i="17"/>
  <c r="D1845" i="17"/>
  <c r="B794" i="4"/>
  <c r="G794" i="4" s="1"/>
  <c r="H794" i="4" s="1"/>
  <c r="D1067" i="17"/>
  <c r="J1067" i="17" s="1"/>
  <c r="K1067" i="17" s="1"/>
  <c r="D1918" i="17"/>
  <c r="D1233" i="17"/>
  <c r="D1496" i="17"/>
  <c r="D1920" i="17"/>
  <c r="D1373" i="17"/>
  <c r="D922" i="17"/>
  <c r="D1923" i="17"/>
  <c r="D1922" i="17"/>
  <c r="D1921" i="17"/>
  <c r="D1425" i="17"/>
  <c r="D1558" i="17"/>
  <c r="D1629" i="17"/>
  <c r="D1925" i="17"/>
  <c r="D1682" i="17"/>
  <c r="D1853" i="17"/>
  <c r="D451" i="17"/>
  <c r="J451" i="17" s="1"/>
  <c r="K451" i="17" s="1"/>
  <c r="B790" i="4"/>
  <c r="G790" i="4" s="1"/>
  <c r="H790" i="4" s="1"/>
  <c r="D977" i="17"/>
  <c r="J977" i="17" s="1"/>
  <c r="K977" i="17" s="1"/>
  <c r="D1914" i="17"/>
  <c r="D1924" i="17"/>
  <c r="B138" i="12"/>
  <c r="D1848" i="17"/>
  <c r="D1911" i="17"/>
  <c r="J9" i="17" l="1"/>
  <c r="K9" i="17" s="1"/>
  <c r="H1287" i="17"/>
  <c r="L1287" i="17" s="1"/>
  <c r="M1287" i="17" s="1"/>
  <c r="J1287" i="17"/>
  <c r="K1287" i="17" s="1"/>
  <c r="H1914" i="17"/>
  <c r="L1914" i="17" s="1"/>
  <c r="M1914" i="17" s="1"/>
  <c r="J1914" i="17"/>
  <c r="K1914" i="17" s="1"/>
  <c r="H1853" i="17"/>
  <c r="L1853" i="17" s="1"/>
  <c r="M1853" i="17" s="1"/>
  <c r="J1853" i="17"/>
  <c r="K1853" i="17" s="1"/>
  <c r="H1925" i="17"/>
  <c r="L1925" i="17" s="1"/>
  <c r="M1925" i="17" s="1"/>
  <c r="J1925" i="17"/>
  <c r="K1925" i="17" s="1"/>
  <c r="H1558" i="17"/>
  <c r="L1558" i="17" s="1"/>
  <c r="M1558" i="17" s="1"/>
  <c r="J1558" i="17"/>
  <c r="K1558" i="17" s="1"/>
  <c r="H1921" i="17"/>
  <c r="L1921" i="17" s="1"/>
  <c r="M1921" i="17" s="1"/>
  <c r="J1921" i="17"/>
  <c r="K1921" i="17" s="1"/>
  <c r="H1923" i="17"/>
  <c r="L1923" i="17" s="1"/>
  <c r="M1923" i="17" s="1"/>
  <c r="J1923" i="17"/>
  <c r="K1923" i="17" s="1"/>
  <c r="H1373" i="17"/>
  <c r="L1373" i="17" s="1"/>
  <c r="M1373" i="17" s="1"/>
  <c r="J1373" i="17"/>
  <c r="K1373" i="17" s="1"/>
  <c r="H1496" i="17"/>
  <c r="L1496" i="17" s="1"/>
  <c r="M1496" i="17" s="1"/>
  <c r="J1496" i="17"/>
  <c r="K1496" i="17" s="1"/>
  <c r="H1918" i="17"/>
  <c r="L1918" i="17" s="1"/>
  <c r="M1918" i="17" s="1"/>
  <c r="J1918" i="17"/>
  <c r="K1918" i="17" s="1"/>
  <c r="H299" i="17"/>
  <c r="L299" i="17" s="1"/>
  <c r="M299" i="17" s="1"/>
  <c r="J299" i="17"/>
  <c r="K299" i="17" s="1"/>
  <c r="H1857" i="17"/>
  <c r="L1857" i="17" s="1"/>
  <c r="M1857" i="17" s="1"/>
  <c r="J1857" i="17"/>
  <c r="K1857" i="17" s="1"/>
  <c r="H1911" i="17"/>
  <c r="L1911" i="17" s="1"/>
  <c r="M1911" i="17" s="1"/>
  <c r="J1911" i="17"/>
  <c r="K1911" i="17" s="1"/>
  <c r="H1848" i="17"/>
  <c r="L1848" i="17" s="1"/>
  <c r="M1848" i="17" s="1"/>
  <c r="J1848" i="17"/>
  <c r="K1848" i="17" s="1"/>
  <c r="H1924" i="17"/>
  <c r="L1924" i="17" s="1"/>
  <c r="M1924" i="17" s="1"/>
  <c r="J1924" i="17"/>
  <c r="K1924" i="17" s="1"/>
  <c r="H1682" i="17"/>
  <c r="L1682" i="17" s="1"/>
  <c r="M1682" i="17" s="1"/>
  <c r="J1682" i="17"/>
  <c r="K1682" i="17" s="1"/>
  <c r="H1629" i="17"/>
  <c r="L1629" i="17" s="1"/>
  <c r="M1629" i="17" s="1"/>
  <c r="J1629" i="17"/>
  <c r="K1629" i="17" s="1"/>
  <c r="H1425" i="17"/>
  <c r="L1425" i="17" s="1"/>
  <c r="M1425" i="17" s="1"/>
  <c r="J1425" i="17"/>
  <c r="K1425" i="17" s="1"/>
  <c r="H1922" i="17"/>
  <c r="L1922" i="17" s="1"/>
  <c r="M1922" i="17" s="1"/>
  <c r="J1922" i="17"/>
  <c r="K1922" i="17" s="1"/>
  <c r="H922" i="17"/>
  <c r="L922" i="17" s="1"/>
  <c r="M922" i="17" s="1"/>
  <c r="J922" i="17"/>
  <c r="K922" i="17" s="1"/>
  <c r="H1920" i="17"/>
  <c r="L1920" i="17" s="1"/>
  <c r="M1920" i="17" s="1"/>
  <c r="J1920" i="17"/>
  <c r="K1920" i="17" s="1"/>
  <c r="H1233" i="17"/>
  <c r="L1233" i="17" s="1"/>
  <c r="M1233" i="17" s="1"/>
  <c r="J1233" i="17"/>
  <c r="K1233" i="17" s="1"/>
  <c r="H1845" i="17"/>
  <c r="L1845" i="17" s="1"/>
  <c r="M1845" i="17" s="1"/>
  <c r="J1845" i="17"/>
  <c r="K1845" i="17" s="1"/>
  <c r="H1184" i="17"/>
  <c r="L1184" i="17" s="1"/>
  <c r="M1184" i="17" s="1"/>
  <c r="J1184" i="17"/>
  <c r="K1184" i="17" s="1"/>
  <c r="E138" i="12"/>
  <c r="I138" i="12" s="1"/>
  <c r="J138" i="12" s="1"/>
  <c r="G138" i="12"/>
  <c r="H138" i="12" s="1"/>
  <c r="C3" i="15"/>
  <c r="G782" i="4"/>
  <c r="H782" i="4" s="1"/>
  <c r="E794" i="4"/>
  <c r="I794" i="4" s="1"/>
  <c r="J794" i="4" s="1"/>
  <c r="I387" i="4"/>
  <c r="J387" i="4" s="1"/>
  <c r="E790" i="4"/>
  <c r="I790" i="4" s="1"/>
  <c r="J790" i="4" s="1"/>
  <c r="I126" i="4"/>
  <c r="J126" i="4" s="1"/>
  <c r="E798" i="4"/>
  <c r="I798" i="4" s="1"/>
  <c r="J798" i="4" s="1"/>
  <c r="I481" i="4"/>
  <c r="J481" i="4" s="1"/>
  <c r="E805" i="4"/>
  <c r="I805" i="4" s="1"/>
  <c r="J805" i="4" s="1"/>
  <c r="H451" i="17"/>
  <c r="L451" i="17" s="1"/>
  <c r="M451" i="17" s="1"/>
  <c r="H1067" i="17"/>
  <c r="L1067" i="17" s="1"/>
  <c r="M1067" i="17" s="1"/>
  <c r="H977" i="17"/>
  <c r="L977" i="17" s="1"/>
  <c r="M977" i="17" s="1"/>
  <c r="H9" i="17"/>
  <c r="L9" i="17" s="1"/>
  <c r="M9" i="17" s="1"/>
  <c r="D15" i="15"/>
  <c r="I22" i="6" s="1"/>
  <c r="J22" i="6" s="1"/>
  <c r="D16" i="15"/>
  <c r="D11" i="15"/>
  <c r="D17" i="15"/>
  <c r="I36" i="6" s="1"/>
  <c r="D9" i="15"/>
  <c r="D12" i="15"/>
  <c r="D4" i="15"/>
  <c r="D3" i="15"/>
  <c r="D10" i="15"/>
  <c r="D2" i="15"/>
  <c r="E782" i="4"/>
  <c r="D13" i="15"/>
  <c r="I24" i="6" s="1"/>
  <c r="J24" i="6" s="1"/>
  <c r="D5" i="15"/>
  <c r="D8" i="15"/>
  <c r="D7" i="15"/>
  <c r="D14" i="15"/>
  <c r="I23" i="6" s="1"/>
  <c r="J23" i="6" s="1"/>
  <c r="D6" i="15"/>
  <c r="N30" i="6"/>
  <c r="L47" i="6"/>
  <c r="L55" i="6" s="1"/>
  <c r="C2" i="15"/>
  <c r="C15" i="15"/>
  <c r="C16" i="15"/>
  <c r="C6" i="15"/>
  <c r="C7" i="15"/>
  <c r="C5" i="15"/>
  <c r="C17" i="15"/>
  <c r="F43" i="6" s="1"/>
  <c r="C9" i="15"/>
  <c r="C4" i="15"/>
  <c r="C8" i="15"/>
  <c r="C12" i="15"/>
  <c r="C14" i="15"/>
  <c r="C13" i="15"/>
  <c r="D1861" i="17"/>
  <c r="D1864" i="17"/>
  <c r="D1231" i="17"/>
  <c r="D1919" i="17"/>
  <c r="D1290" i="17"/>
  <c r="D1070" i="17"/>
  <c r="J1070" i="17" s="1"/>
  <c r="K1070" i="17" s="1"/>
  <c r="D1915" i="17"/>
  <c r="D1859" i="17"/>
  <c r="D1494" i="17"/>
  <c r="D1908" i="17"/>
  <c r="D1863" i="17"/>
  <c r="D1371" i="17"/>
  <c r="D1679" i="17"/>
  <c r="D1555" i="17"/>
  <c r="D1865" i="17"/>
  <c r="D1627" i="17"/>
  <c r="D1866" i="17"/>
  <c r="D1862" i="17"/>
  <c r="D1422" i="17"/>
  <c r="D974" i="17"/>
  <c r="J974" i="17" s="1"/>
  <c r="K974" i="17" s="1"/>
  <c r="D1855" i="17"/>
  <c r="B805" i="4"/>
  <c r="G805" i="4" s="1"/>
  <c r="H805" i="4" s="1"/>
  <c r="D1909" i="17"/>
  <c r="D454" i="17"/>
  <c r="J454" i="17" s="1"/>
  <c r="K454" i="17" s="1"/>
  <c r="D1852" i="17"/>
  <c r="H1852" i="17" l="1"/>
  <c r="L1852" i="17" s="1"/>
  <c r="M1852" i="17" s="1"/>
  <c r="J1852" i="17"/>
  <c r="K1852" i="17" s="1"/>
  <c r="H1909" i="17"/>
  <c r="L1909" i="17" s="1"/>
  <c r="M1909" i="17" s="1"/>
  <c r="J1909" i="17"/>
  <c r="K1909" i="17" s="1"/>
  <c r="H1855" i="17"/>
  <c r="L1855" i="17" s="1"/>
  <c r="M1855" i="17" s="1"/>
  <c r="J1855" i="17"/>
  <c r="K1855" i="17" s="1"/>
  <c r="H1422" i="17"/>
  <c r="L1422" i="17" s="1"/>
  <c r="M1422" i="17" s="1"/>
  <c r="J1422" i="17"/>
  <c r="K1422" i="17" s="1"/>
  <c r="H1866" i="17"/>
  <c r="L1866" i="17" s="1"/>
  <c r="M1866" i="17" s="1"/>
  <c r="J1866" i="17"/>
  <c r="K1866" i="17" s="1"/>
  <c r="H1865" i="17"/>
  <c r="L1865" i="17" s="1"/>
  <c r="M1865" i="17" s="1"/>
  <c r="J1865" i="17"/>
  <c r="K1865" i="17" s="1"/>
  <c r="H1679" i="17"/>
  <c r="L1679" i="17" s="1"/>
  <c r="M1679" i="17" s="1"/>
  <c r="J1679" i="17"/>
  <c r="K1679" i="17" s="1"/>
  <c r="H1863" i="17"/>
  <c r="L1863" i="17" s="1"/>
  <c r="M1863" i="17" s="1"/>
  <c r="J1863" i="17"/>
  <c r="K1863" i="17" s="1"/>
  <c r="H1494" i="17"/>
  <c r="L1494" i="17" s="1"/>
  <c r="M1494" i="17" s="1"/>
  <c r="J1494" i="17"/>
  <c r="K1494" i="17" s="1"/>
  <c r="H1915" i="17"/>
  <c r="L1915" i="17" s="1"/>
  <c r="M1915" i="17" s="1"/>
  <c r="J1915" i="17"/>
  <c r="K1915" i="17" s="1"/>
  <c r="H1290" i="17"/>
  <c r="L1290" i="17" s="1"/>
  <c r="M1290" i="17" s="1"/>
  <c r="J1290" i="17"/>
  <c r="K1290" i="17" s="1"/>
  <c r="H1231" i="17"/>
  <c r="L1231" i="17" s="1"/>
  <c r="M1231" i="17" s="1"/>
  <c r="J1231" i="17"/>
  <c r="K1231" i="17" s="1"/>
  <c r="H1861" i="17"/>
  <c r="L1861" i="17" s="1"/>
  <c r="M1861" i="17" s="1"/>
  <c r="J1861" i="17"/>
  <c r="K1861" i="17" s="1"/>
  <c r="H1862" i="17"/>
  <c r="L1862" i="17" s="1"/>
  <c r="M1862" i="17" s="1"/>
  <c r="J1862" i="17"/>
  <c r="K1862" i="17" s="1"/>
  <c r="H1627" i="17"/>
  <c r="L1627" i="17" s="1"/>
  <c r="M1627" i="17" s="1"/>
  <c r="J1627" i="17"/>
  <c r="K1627" i="17" s="1"/>
  <c r="H1555" i="17"/>
  <c r="L1555" i="17" s="1"/>
  <c r="M1555" i="17" s="1"/>
  <c r="J1555" i="17"/>
  <c r="K1555" i="17" s="1"/>
  <c r="H1371" i="17"/>
  <c r="L1371" i="17" s="1"/>
  <c r="M1371" i="17" s="1"/>
  <c r="J1371" i="17"/>
  <c r="K1371" i="17" s="1"/>
  <c r="H1908" i="17"/>
  <c r="L1908" i="17" s="1"/>
  <c r="M1908" i="17" s="1"/>
  <c r="J1908" i="17"/>
  <c r="K1908" i="17" s="1"/>
  <c r="H1859" i="17"/>
  <c r="L1859" i="17" s="1"/>
  <c r="M1859" i="17" s="1"/>
  <c r="J1859" i="17"/>
  <c r="K1859" i="17" s="1"/>
  <c r="H1919" i="17"/>
  <c r="L1919" i="17" s="1"/>
  <c r="M1919" i="17" s="1"/>
  <c r="J1919" i="17"/>
  <c r="K1919" i="17" s="1"/>
  <c r="H1864" i="17"/>
  <c r="L1864" i="17" s="1"/>
  <c r="M1864" i="17" s="1"/>
  <c r="J1864" i="17"/>
  <c r="K1864" i="17" s="1"/>
  <c r="I782" i="4"/>
  <c r="J782" i="4" s="1"/>
  <c r="H974" i="17"/>
  <c r="L974" i="17" s="1"/>
  <c r="M974" i="17" s="1"/>
  <c r="H454" i="17"/>
  <c r="L454" i="17" s="1"/>
  <c r="M454" i="17" s="1"/>
  <c r="H1070" i="17"/>
  <c r="L1070" i="17" s="1"/>
  <c r="M1070" i="17" s="1"/>
  <c r="D1" i="15"/>
  <c r="I21" i="6" s="1"/>
  <c r="I28" i="6"/>
  <c r="J36" i="6"/>
  <c r="K36" i="6" s="1"/>
  <c r="I34" i="6"/>
  <c r="J34" i="6" s="1"/>
  <c r="F24" i="6"/>
  <c r="G24" i="6" s="1"/>
  <c r="G43" i="6"/>
  <c r="F23" i="6"/>
  <c r="G23" i="6" s="1"/>
  <c r="F22" i="6"/>
  <c r="G22" i="6" s="1"/>
  <c r="I13" i="5"/>
  <c r="J13" i="5" s="1"/>
  <c r="E16" i="15"/>
  <c r="E4" i="15"/>
  <c r="E11" i="15"/>
  <c r="E3" i="15"/>
  <c r="E17" i="15"/>
  <c r="E2" i="15"/>
  <c r="E10" i="15"/>
  <c r="E9" i="15"/>
  <c r="E12" i="15"/>
  <c r="E7" i="15"/>
  <c r="E5" i="15"/>
  <c r="E8" i="15"/>
  <c r="E14" i="15"/>
  <c r="E13" i="15"/>
  <c r="E15" i="15"/>
  <c r="E6" i="15"/>
  <c r="C1" i="15"/>
  <c r="B806" i="4"/>
  <c r="D1860" i="17"/>
  <c r="D1286" i="17"/>
  <c r="F28" i="6"/>
  <c r="D1066" i="17"/>
  <c r="J1066" i="17" s="1"/>
  <c r="K1066" i="17" s="1"/>
  <c r="D1856" i="17"/>
  <c r="D1849" i="17"/>
  <c r="D1926" i="17"/>
  <c r="D1850" i="17"/>
  <c r="D450" i="17"/>
  <c r="E1761" i="17" l="1"/>
  <c r="D1761" i="17"/>
  <c r="G1761" i="17"/>
  <c r="F1761" i="17"/>
  <c r="J450" i="17"/>
  <c r="K450" i="17" s="1"/>
  <c r="H1850" i="17"/>
  <c r="L1850" i="17" s="1"/>
  <c r="M1850" i="17" s="1"/>
  <c r="J1850" i="17"/>
  <c r="K1850" i="17" s="1"/>
  <c r="H1849" i="17"/>
  <c r="L1849" i="17" s="1"/>
  <c r="M1849" i="17" s="1"/>
  <c r="J1849" i="17"/>
  <c r="K1849" i="17" s="1"/>
  <c r="H1286" i="17"/>
  <c r="L1286" i="17" s="1"/>
  <c r="M1286" i="17" s="1"/>
  <c r="J1286" i="17"/>
  <c r="K1286" i="17" s="1"/>
  <c r="H1926" i="17"/>
  <c r="L1926" i="17" s="1"/>
  <c r="M1926" i="17" s="1"/>
  <c r="J1926" i="17"/>
  <c r="K1926" i="17" s="1"/>
  <c r="H1856" i="17"/>
  <c r="L1856" i="17" s="1"/>
  <c r="M1856" i="17" s="1"/>
  <c r="J1856" i="17"/>
  <c r="K1856" i="17" s="1"/>
  <c r="H1860" i="17"/>
  <c r="L1860" i="17" s="1"/>
  <c r="M1860" i="17" s="1"/>
  <c r="J1860" i="17"/>
  <c r="K1860" i="17" s="1"/>
  <c r="H1066" i="17"/>
  <c r="L1066" i="17" s="1"/>
  <c r="M1066" i="17" s="1"/>
  <c r="H450" i="17"/>
  <c r="L450" i="17" s="1"/>
  <c r="M450" i="17" s="1"/>
  <c r="D18" i="15"/>
  <c r="D19" i="15" s="1"/>
  <c r="I26" i="6"/>
  <c r="J26" i="6" s="1"/>
  <c r="J28" i="6"/>
  <c r="I20" i="6"/>
  <c r="J21" i="6"/>
  <c r="G1764" i="17"/>
  <c r="G1770" i="17"/>
  <c r="G1877" i="17" s="1"/>
  <c r="G1766" i="17"/>
  <c r="G1789" i="17"/>
  <c r="G1820" i="17"/>
  <c r="E1769" i="17"/>
  <c r="G1767" i="17"/>
  <c r="G1790" i="17"/>
  <c r="G1768" i="17"/>
  <c r="G1791" i="17"/>
  <c r="G1822" i="17"/>
  <c r="G1792" i="17"/>
  <c r="G1769" i="17"/>
  <c r="G1827" i="17"/>
  <c r="G1813" i="17"/>
  <c r="G1765" i="17"/>
  <c r="G1927" i="17" s="1"/>
  <c r="G1823" i="17"/>
  <c r="G1778" i="17"/>
  <c r="G1793" i="17"/>
  <c r="G1824" i="17"/>
  <c r="D1769" i="17"/>
  <c r="J1769" i="17" s="1"/>
  <c r="G1779" i="17"/>
  <c r="G1794" i="17"/>
  <c r="G1780" i="17"/>
  <c r="G1826" i="17"/>
  <c r="G1817" i="17"/>
  <c r="G1781" i="17"/>
  <c r="G1821" i="17"/>
  <c r="G1788" i="17"/>
  <c r="G1831" i="17"/>
  <c r="G1782" i="17"/>
  <c r="G1812" i="17"/>
  <c r="G1828" i="17"/>
  <c r="G1783" i="17"/>
  <c r="F1769" i="17"/>
  <c r="G1784" i="17"/>
  <c r="G1814" i="17"/>
  <c r="G1830" i="17"/>
  <c r="G1825" i="17"/>
  <c r="G1795" i="17"/>
  <c r="G1829" i="17"/>
  <c r="G1798" i="17"/>
  <c r="G1786" i="17"/>
  <c r="G1816" i="17"/>
  <c r="G1762" i="17"/>
  <c r="G1787" i="17"/>
  <c r="G1818" i="17"/>
  <c r="G1819" i="17"/>
  <c r="G1785" i="17"/>
  <c r="G1815" i="17"/>
  <c r="F40" i="6"/>
  <c r="G40" i="6" s="1"/>
  <c r="C18" i="15"/>
  <c r="C19" i="15" s="1"/>
  <c r="E1901" i="17"/>
  <c r="D1770" i="17"/>
  <c r="J1770" i="17" s="1"/>
  <c r="K1770" i="17" s="1"/>
  <c r="E1770" i="17"/>
  <c r="E1877" i="17" s="1"/>
  <c r="F1770" i="17"/>
  <c r="E1" i="15"/>
  <c r="F7" i="15"/>
  <c r="F4" i="15"/>
  <c r="F11" i="15"/>
  <c r="F5" i="15"/>
  <c r="F3" i="15"/>
  <c r="F15" i="15"/>
  <c r="F9" i="15"/>
  <c r="F6" i="15"/>
  <c r="F8" i="15"/>
  <c r="F17" i="15"/>
  <c r="F2" i="15"/>
  <c r="F14" i="15"/>
  <c r="F13" i="15"/>
  <c r="F12" i="15"/>
  <c r="F16" i="15"/>
  <c r="F10" i="15"/>
  <c r="F21" i="6"/>
  <c r="G21" i="6" s="1"/>
  <c r="F1787" i="17"/>
  <c r="F1792" i="17"/>
  <c r="F1778" i="17"/>
  <c r="F1793" i="17"/>
  <c r="F1781" i="17"/>
  <c r="F1795" i="17"/>
  <c r="F1782" i="17"/>
  <c r="F1790" i="17"/>
  <c r="F1791" i="17"/>
  <c r="F1780" i="17"/>
  <c r="F1785" i="17"/>
  <c r="F1786" i="17"/>
  <c r="F1779" i="17"/>
  <c r="F1794" i="17"/>
  <c r="F1784" i="17"/>
  <c r="F1788" i="17"/>
  <c r="F1789" i="17"/>
  <c r="F1783" i="17"/>
  <c r="F1798" i="17"/>
  <c r="F26" i="6"/>
  <c r="G26" i="6" s="1"/>
  <c r="G28" i="6"/>
  <c r="E1768" i="17"/>
  <c r="D1764" i="17"/>
  <c r="J1764" i="17" s="1"/>
  <c r="K1764" i="17" s="1"/>
  <c r="E1798" i="17"/>
  <c r="E1813" i="17"/>
  <c r="D1762" i="17"/>
  <c r="J1762" i="17" s="1"/>
  <c r="K1762" i="17" s="1"/>
  <c r="E1786" i="17"/>
  <c r="E1789" i="17"/>
  <c r="E1766" i="17"/>
  <c r="E1814" i="17"/>
  <c r="D1768" i="17"/>
  <c r="J1768" i="17" s="1"/>
  <c r="K1768" i="17" s="1"/>
  <c r="E1779" i="17"/>
  <c r="E1827" i="17"/>
  <c r="D1765" i="17"/>
  <c r="J1765" i="17" s="1"/>
  <c r="K1765" i="17" s="1"/>
  <c r="E1824" i="17"/>
  <c r="E1764" i="17"/>
  <c r="E1812" i="17"/>
  <c r="E1815" i="17"/>
  <c r="E1793" i="17"/>
  <c r="E1781" i="17"/>
  <c r="E1821" i="17"/>
  <c r="E1791" i="17"/>
  <c r="E1787" i="17"/>
  <c r="E1788" i="17"/>
  <c r="E1778" i="17"/>
  <c r="E1780" i="17"/>
  <c r="E1817" i="17"/>
  <c r="E1826" i="17"/>
  <c r="E1830" i="17"/>
  <c r="D1766" i="17"/>
  <c r="J1766" i="17" s="1"/>
  <c r="K1766" i="17" s="1"/>
  <c r="E1816" i="17"/>
  <c r="E1818" i="17"/>
  <c r="E1823" i="17"/>
  <c r="E1828" i="17"/>
  <c r="E1782" i="17"/>
  <c r="E1825" i="17"/>
  <c r="E1767" i="17"/>
  <c r="E1762" i="17"/>
  <c r="E1765" i="17"/>
  <c r="E1927" i="17" s="1"/>
  <c r="D1767" i="17"/>
  <c r="J1767" i="17" s="1"/>
  <c r="K1767" i="17" s="1"/>
  <c r="E1820" i="17"/>
  <c r="E1790" i="17"/>
  <c r="E1794" i="17"/>
  <c r="E1795" i="17"/>
  <c r="E1784" i="17"/>
  <c r="E1783" i="17"/>
  <c r="E1792" i="17"/>
  <c r="E1831" i="17"/>
  <c r="E1822" i="17"/>
  <c r="E1819" i="17"/>
  <c r="E1829" i="17"/>
  <c r="E1785" i="17"/>
  <c r="D1790" i="17"/>
  <c r="J1790" i="17" s="1"/>
  <c r="K1790" i="17" s="1"/>
  <c r="D1819" i="17"/>
  <c r="D1830" i="17"/>
  <c r="D1798" i="17"/>
  <c r="J1798" i="17" s="1"/>
  <c r="K1798" i="17" s="1"/>
  <c r="D1788" i="17"/>
  <c r="J1788" i="17" s="1"/>
  <c r="K1788" i="17" s="1"/>
  <c r="D1815" i="17"/>
  <c r="D1816" i="17"/>
  <c r="D1829" i="17"/>
  <c r="D1818" i="17"/>
  <c r="D1812" i="17"/>
  <c r="D1792" i="17"/>
  <c r="J1792" i="17" s="1"/>
  <c r="K1792" i="17" s="1"/>
  <c r="D1781" i="17"/>
  <c r="J1781" i="17" s="1"/>
  <c r="K1781" i="17" s="1"/>
  <c r="D1827" i="17"/>
  <c r="D1867" i="17"/>
  <c r="D1789" i="17"/>
  <c r="J1789" i="17" s="1"/>
  <c r="K1789" i="17" s="1"/>
  <c r="D1826" i="17"/>
  <c r="D1823" i="17"/>
  <c r="D1786" i="17"/>
  <c r="J1786" i="17" s="1"/>
  <c r="K1786" i="17" s="1"/>
  <c r="D1791" i="17"/>
  <c r="J1791" i="17" s="1"/>
  <c r="K1791" i="17" s="1"/>
  <c r="D1787" i="17"/>
  <c r="J1787" i="17" s="1"/>
  <c r="K1787" i="17" s="1"/>
  <c r="D1821" i="17"/>
  <c r="D1795" i="17"/>
  <c r="J1795" i="17" s="1"/>
  <c r="K1795" i="17" s="1"/>
  <c r="D1785" i="17"/>
  <c r="J1785" i="17" s="1"/>
  <c r="K1785" i="17" s="1"/>
  <c r="D1813" i="17"/>
  <c r="D1817" i="17"/>
  <c r="D1824" i="17"/>
  <c r="D1780" i="17"/>
  <c r="J1780" i="17" s="1"/>
  <c r="K1780" i="17" s="1"/>
  <c r="D1793" i="17"/>
  <c r="J1793" i="17" s="1"/>
  <c r="K1793" i="17" s="1"/>
  <c r="D1814" i="17"/>
  <c r="D1825" i="17"/>
  <c r="D1779" i="17"/>
  <c r="J1779" i="17" s="1"/>
  <c r="K1779" i="17" s="1"/>
  <c r="D1783" i="17"/>
  <c r="J1783" i="17" s="1"/>
  <c r="K1783" i="17" s="1"/>
  <c r="D1782" i="17"/>
  <c r="J1782" i="17" s="1"/>
  <c r="K1782" i="17" s="1"/>
  <c r="D1794" i="17"/>
  <c r="J1794" i="17" s="1"/>
  <c r="K1794" i="17" s="1"/>
  <c r="D1784" i="17"/>
  <c r="J1784" i="17" s="1"/>
  <c r="K1784" i="17" s="1"/>
  <c r="D1822" i="17"/>
  <c r="D1778" i="17"/>
  <c r="J1778" i="17" s="1"/>
  <c r="K1778" i="17" s="1"/>
  <c r="D1831" i="17"/>
  <c r="D1828" i="17"/>
  <c r="D1820" i="17"/>
  <c r="I1761" i="17" l="1"/>
  <c r="J1828" i="17"/>
  <c r="K1828" i="17" s="1"/>
  <c r="J1814" i="17"/>
  <c r="K1814" i="17" s="1"/>
  <c r="J1817" i="17"/>
  <c r="K1817" i="17" s="1"/>
  <c r="J1821" i="17"/>
  <c r="K1821" i="17" s="1"/>
  <c r="J1823" i="17"/>
  <c r="K1823" i="17" s="1"/>
  <c r="J1827" i="17"/>
  <c r="K1827" i="17" s="1"/>
  <c r="J1818" i="17"/>
  <c r="K1818" i="17" s="1"/>
  <c r="J1816" i="17"/>
  <c r="K1816" i="17" s="1"/>
  <c r="J1830" i="17"/>
  <c r="K1830" i="17" s="1"/>
  <c r="J1820" i="17"/>
  <c r="K1820" i="17" s="1"/>
  <c r="J1831" i="17"/>
  <c r="K1831" i="17" s="1"/>
  <c r="J1822" i="17"/>
  <c r="K1822" i="17" s="1"/>
  <c r="J1825" i="17"/>
  <c r="K1825" i="17" s="1"/>
  <c r="J1824" i="17"/>
  <c r="K1824" i="17" s="1"/>
  <c r="J1813" i="17"/>
  <c r="K1813" i="17" s="1"/>
  <c r="J1826" i="17"/>
  <c r="K1826" i="17" s="1"/>
  <c r="J1829" i="17"/>
  <c r="K1829" i="17" s="1"/>
  <c r="J1815" i="17"/>
  <c r="K1815" i="17" s="1"/>
  <c r="J1819" i="17"/>
  <c r="K1819" i="17" s="1"/>
  <c r="J1812" i="17"/>
  <c r="K1812" i="17" s="1"/>
  <c r="H1761" i="17"/>
  <c r="H1867" i="17"/>
  <c r="L1867" i="17" s="1"/>
  <c r="M1867" i="17" s="1"/>
  <c r="J1867" i="17"/>
  <c r="K1867" i="17" s="1"/>
  <c r="J20" i="6"/>
  <c r="I47" i="6"/>
  <c r="H1781" i="17"/>
  <c r="L1781" i="17" s="1"/>
  <c r="M1781" i="17" s="1"/>
  <c r="H1794" i="17"/>
  <c r="L1794" i="17" s="1"/>
  <c r="M1794" i="17" s="1"/>
  <c r="H1783" i="17"/>
  <c r="L1783" i="17" s="1"/>
  <c r="M1783" i="17" s="1"/>
  <c r="H1793" i="17"/>
  <c r="L1793" i="17" s="1"/>
  <c r="M1793" i="17" s="1"/>
  <c r="H1785" i="17"/>
  <c r="L1785" i="17" s="1"/>
  <c r="M1785" i="17" s="1"/>
  <c r="H1791" i="17"/>
  <c r="L1791" i="17" s="1"/>
  <c r="M1791" i="17" s="1"/>
  <c r="H1789" i="17"/>
  <c r="L1789" i="17" s="1"/>
  <c r="M1789" i="17" s="1"/>
  <c r="H1792" i="17"/>
  <c r="L1792" i="17" s="1"/>
  <c r="M1792" i="17" s="1"/>
  <c r="H1788" i="17"/>
  <c r="L1788" i="17" s="1"/>
  <c r="M1788" i="17" s="1"/>
  <c r="H1790" i="17"/>
  <c r="L1790" i="17" s="1"/>
  <c r="M1790" i="17" s="1"/>
  <c r="H1769" i="17"/>
  <c r="L1769" i="17" s="1"/>
  <c r="H1778" i="17"/>
  <c r="L1778" i="17" s="1"/>
  <c r="M1778" i="17" s="1"/>
  <c r="H1784" i="17"/>
  <c r="L1784" i="17" s="1"/>
  <c r="M1784" i="17" s="1"/>
  <c r="H1782" i="17"/>
  <c r="L1782" i="17" s="1"/>
  <c r="M1782" i="17" s="1"/>
  <c r="H1779" i="17"/>
  <c r="L1779" i="17" s="1"/>
  <c r="M1779" i="17" s="1"/>
  <c r="H1780" i="17"/>
  <c r="L1780" i="17" s="1"/>
  <c r="M1780" i="17" s="1"/>
  <c r="H1795" i="17"/>
  <c r="L1795" i="17" s="1"/>
  <c r="M1795" i="17" s="1"/>
  <c r="H1787" i="17"/>
  <c r="L1787" i="17" s="1"/>
  <c r="M1787" i="17" s="1"/>
  <c r="H1786" i="17"/>
  <c r="L1786" i="17" s="1"/>
  <c r="M1786" i="17" s="1"/>
  <c r="H1798" i="17"/>
  <c r="L1798" i="17" s="1"/>
  <c r="M1798" i="17" s="1"/>
  <c r="H1770" i="17"/>
  <c r="L1770" i="17" s="1"/>
  <c r="M1770" i="17" s="1"/>
  <c r="G1901" i="17"/>
  <c r="G1796" i="17"/>
  <c r="G1832" i="17"/>
  <c r="G1771" i="17"/>
  <c r="G1772" i="17"/>
  <c r="M34" i="6"/>
  <c r="N34" i="6" s="1"/>
  <c r="E1772" i="17"/>
  <c r="D1772" i="17"/>
  <c r="J1772" i="17" s="1"/>
  <c r="E1771" i="17"/>
  <c r="D1771" i="17"/>
  <c r="J1771" i="17" s="1"/>
  <c r="N22" i="6"/>
  <c r="N24" i="6"/>
  <c r="N23" i="6"/>
  <c r="F20" i="6"/>
  <c r="F47" i="6" s="1"/>
  <c r="E18" i="15"/>
  <c r="E19" i="15" s="1"/>
  <c r="F1" i="15"/>
  <c r="D1876" i="17"/>
  <c r="D1901" i="17"/>
  <c r="J1901" i="17" s="1"/>
  <c r="D1927" i="17"/>
  <c r="F1822" i="17"/>
  <c r="H1822" i="17" s="1"/>
  <c r="L1822" i="17" s="1"/>
  <c r="M1822" i="17" s="1"/>
  <c r="F1819" i="17"/>
  <c r="H1819" i="17" s="1"/>
  <c r="L1819" i="17" s="1"/>
  <c r="M1819" i="17" s="1"/>
  <c r="F1821" i="17"/>
  <c r="H1821" i="17" s="1"/>
  <c r="L1821" i="17" s="1"/>
  <c r="M1821" i="17" s="1"/>
  <c r="F1816" i="17"/>
  <c r="H1816" i="17" s="1"/>
  <c r="L1816" i="17" s="1"/>
  <c r="M1816" i="17" s="1"/>
  <c r="F1817" i="17"/>
  <c r="H1817" i="17" s="1"/>
  <c r="L1817" i="17" s="1"/>
  <c r="M1817" i="17" s="1"/>
  <c r="F1814" i="17"/>
  <c r="H1814" i="17" s="1"/>
  <c r="L1814" i="17" s="1"/>
  <c r="M1814" i="17" s="1"/>
  <c r="F1824" i="17"/>
  <c r="H1824" i="17" s="1"/>
  <c r="L1824" i="17" s="1"/>
  <c r="M1824" i="17" s="1"/>
  <c r="F1829" i="17"/>
  <c r="H1829" i="17" s="1"/>
  <c r="L1829" i="17" s="1"/>
  <c r="M1829" i="17" s="1"/>
  <c r="F1818" i="17"/>
  <c r="H1818" i="17" s="1"/>
  <c r="L1818" i="17" s="1"/>
  <c r="M1818" i="17" s="1"/>
  <c r="F1826" i="17"/>
  <c r="H1826" i="17" s="1"/>
  <c r="L1826" i="17" s="1"/>
  <c r="M1826" i="17" s="1"/>
  <c r="F1827" i="17"/>
  <c r="H1827" i="17" s="1"/>
  <c r="L1827" i="17" s="1"/>
  <c r="M1827" i="17" s="1"/>
  <c r="F1813" i="17"/>
  <c r="H1813" i="17" s="1"/>
  <c r="L1813" i="17" s="1"/>
  <c r="M1813" i="17" s="1"/>
  <c r="F1825" i="17"/>
  <c r="H1825" i="17" s="1"/>
  <c r="L1825" i="17" s="1"/>
  <c r="M1825" i="17" s="1"/>
  <c r="F1820" i="17"/>
  <c r="H1820" i="17" s="1"/>
  <c r="L1820" i="17" s="1"/>
  <c r="M1820" i="17" s="1"/>
  <c r="F1831" i="17"/>
  <c r="H1831" i="17" s="1"/>
  <c r="L1831" i="17" s="1"/>
  <c r="M1831" i="17" s="1"/>
  <c r="F1828" i="17"/>
  <c r="H1828" i="17" s="1"/>
  <c r="L1828" i="17" s="1"/>
  <c r="M1828" i="17" s="1"/>
  <c r="F1815" i="17"/>
  <c r="H1815" i="17" s="1"/>
  <c r="L1815" i="17" s="1"/>
  <c r="M1815" i="17" s="1"/>
  <c r="F1812" i="17"/>
  <c r="H1812" i="17" s="1"/>
  <c r="L1812" i="17" s="1"/>
  <c r="M1812" i="17" s="1"/>
  <c r="F1830" i="17"/>
  <c r="H1830" i="17" s="1"/>
  <c r="L1830" i="17" s="1"/>
  <c r="M1830" i="17" s="1"/>
  <c r="F1823" i="17"/>
  <c r="H1823" i="17" s="1"/>
  <c r="L1823" i="17" s="1"/>
  <c r="M1823" i="17" s="1"/>
  <c r="F1762" i="17"/>
  <c r="H1762" i="17" s="1"/>
  <c r="L1762" i="17" s="1"/>
  <c r="M1762" i="17" s="1"/>
  <c r="F1796" i="17"/>
  <c r="F1768" i="17"/>
  <c r="H1768" i="17" s="1"/>
  <c r="L1768" i="17" s="1"/>
  <c r="M1768" i="17" s="1"/>
  <c r="F1766" i="17"/>
  <c r="H1766" i="17" s="1"/>
  <c r="L1766" i="17" s="1"/>
  <c r="M1766" i="17" s="1"/>
  <c r="F1765" i="17"/>
  <c r="H1765" i="17" s="1"/>
  <c r="L1765" i="17" s="1"/>
  <c r="M1765" i="17" s="1"/>
  <c r="F1764" i="17"/>
  <c r="H1764" i="17" s="1"/>
  <c r="L1764" i="17" s="1"/>
  <c r="M1764" i="17" s="1"/>
  <c r="F1767" i="17"/>
  <c r="H1767" i="17" s="1"/>
  <c r="L1767" i="17" s="1"/>
  <c r="M1767" i="17" s="1"/>
  <c r="E1832" i="17"/>
  <c r="E1796" i="17"/>
  <c r="L1761" i="17" l="1"/>
  <c r="M1761" i="17" s="1"/>
  <c r="J1761" i="17"/>
  <c r="K1761" i="17" s="1"/>
  <c r="H1876" i="17"/>
  <c r="L1876" i="17" s="1"/>
  <c r="M1876" i="17" s="1"/>
  <c r="J1876" i="17"/>
  <c r="K1876" i="17" s="1"/>
  <c r="F1805" i="17"/>
  <c r="E1805" i="17"/>
  <c r="I55" i="6"/>
  <c r="J55" i="6" s="1"/>
  <c r="J47" i="6"/>
  <c r="G1805" i="17"/>
  <c r="G1842" i="17"/>
  <c r="N36" i="6"/>
  <c r="F1772" i="17"/>
  <c r="H1772" i="17" s="1"/>
  <c r="L1772" i="17" s="1"/>
  <c r="F1771" i="17"/>
  <c r="H1771" i="17" s="1"/>
  <c r="L1771" i="17" s="1"/>
  <c r="I37" i="5"/>
  <c r="E1842" i="17"/>
  <c r="G20" i="6"/>
  <c r="N28" i="6"/>
  <c r="M26" i="6"/>
  <c r="F18" i="15"/>
  <c r="D1877" i="17"/>
  <c r="J1877" i="17" s="1"/>
  <c r="F1927" i="17"/>
  <c r="H1927" i="17" s="1"/>
  <c r="F1877" i="17"/>
  <c r="F1901" i="17"/>
  <c r="H1901" i="17" s="1"/>
  <c r="L1901" i="17" s="1"/>
  <c r="F1832" i="17"/>
  <c r="G47" i="6"/>
  <c r="F55" i="6"/>
  <c r="B14" i="11"/>
  <c r="G1807" i="17" l="1"/>
  <c r="O36" i="6"/>
  <c r="Q36" i="6"/>
  <c r="R36" i="6" s="1"/>
  <c r="H1877" i="17"/>
  <c r="L1877" i="17" s="1"/>
  <c r="G1843" i="17"/>
  <c r="I47" i="5"/>
  <c r="J47" i="5" s="1"/>
  <c r="I36" i="5"/>
  <c r="J36" i="5" s="1"/>
  <c r="F49" i="5"/>
  <c r="E1807" i="17"/>
  <c r="E1843" i="17"/>
  <c r="F1842" i="17"/>
  <c r="F19" i="15"/>
  <c r="M20" i="6"/>
  <c r="N21" i="6"/>
  <c r="F1807" i="17"/>
  <c r="G55" i="6"/>
  <c r="G1808" i="17" l="1"/>
  <c r="G12" i="5"/>
  <c r="H12" i="5" s="1"/>
  <c r="F80" i="5"/>
  <c r="G49" i="5"/>
  <c r="H49" i="5" s="1"/>
  <c r="I49" i="5"/>
  <c r="J49" i="5" s="1"/>
  <c r="E1808" i="17"/>
  <c r="F1843" i="17"/>
  <c r="N20" i="6"/>
  <c r="F1808" i="17"/>
  <c r="E85" i="5"/>
  <c r="C85" i="5"/>
  <c r="I9" i="13" l="1"/>
  <c r="J9" i="13" s="1"/>
  <c r="G9" i="13"/>
  <c r="H9" i="13" s="1"/>
  <c r="I15" i="5"/>
  <c r="J15" i="5" s="1"/>
  <c r="G15" i="5"/>
  <c r="I80" i="5"/>
  <c r="J80" i="5" s="1"/>
  <c r="G80" i="5"/>
  <c r="H80" i="5" s="1"/>
  <c r="I29" i="5"/>
  <c r="J29" i="5" s="1"/>
  <c r="I28" i="5"/>
  <c r="J28" i="5" s="1"/>
  <c r="I27" i="5"/>
  <c r="J27" i="5" s="1"/>
  <c r="B17" i="11"/>
  <c r="B8" i="11"/>
  <c r="B5" i="11"/>
  <c r="B45" i="6"/>
  <c r="D45" i="6" s="1"/>
  <c r="O45" i="6" s="1"/>
  <c r="P45" i="6" s="1"/>
  <c r="B28" i="6"/>
  <c r="B27" i="6"/>
  <c r="B16" i="6"/>
  <c r="B11" i="6"/>
  <c r="D11" i="6" s="1"/>
  <c r="B23" i="6"/>
  <c r="B20" i="6" s="1"/>
  <c r="B18" i="6"/>
  <c r="D18" i="6" s="1"/>
  <c r="O18" i="6" s="1"/>
  <c r="P18" i="6" s="1"/>
  <c r="B15" i="6"/>
  <c r="D15" i="6" s="1"/>
  <c r="O15" i="6" s="1"/>
  <c r="P15" i="6" s="1"/>
  <c r="B31" i="6"/>
  <c r="B37" i="6"/>
  <c r="D37" i="6" s="1"/>
  <c r="B38" i="6"/>
  <c r="D38" i="6" s="1"/>
  <c r="B42" i="6"/>
  <c r="D42" i="6" s="1"/>
  <c r="B41" i="6"/>
  <c r="B14" i="6"/>
  <c r="D14" i="6" s="1"/>
  <c r="O14" i="6" s="1"/>
  <c r="P14" i="6" s="1"/>
  <c r="K37" i="6" l="1"/>
  <c r="O37" i="6"/>
  <c r="P37" i="6" s="1"/>
  <c r="K42" i="6"/>
  <c r="O42" i="6"/>
  <c r="P42" i="6" s="1"/>
  <c r="K38" i="6"/>
  <c r="O38" i="6"/>
  <c r="P38" i="6" s="1"/>
  <c r="K11" i="6"/>
  <c r="O11" i="6"/>
  <c r="P11" i="6" s="1"/>
  <c r="G7" i="13"/>
  <c r="H7" i="13" s="1"/>
  <c r="K14" i="6"/>
  <c r="Q14" i="6" s="1"/>
  <c r="R14" i="6" s="1"/>
  <c r="K15" i="6"/>
  <c r="Q15" i="6" s="1"/>
  <c r="R15" i="6" s="1"/>
  <c r="K18" i="6"/>
  <c r="Q18" i="6" s="1"/>
  <c r="R18" i="6" s="1"/>
  <c r="K45" i="6"/>
  <c r="Q45" i="6" s="1"/>
  <c r="R45" i="6" s="1"/>
  <c r="Q42" i="6"/>
  <c r="R42" i="6" s="1"/>
  <c r="Q37" i="6"/>
  <c r="R37" i="6" s="1"/>
  <c r="Q11" i="6"/>
  <c r="R11" i="6" s="1"/>
  <c r="Q38" i="6"/>
  <c r="R38" i="6" s="1"/>
  <c r="B30" i="6"/>
  <c r="D30" i="6" s="1"/>
  <c r="D41" i="6"/>
  <c r="B40" i="6"/>
  <c r="D31" i="6"/>
  <c r="B35" i="6"/>
  <c r="B34" i="6" s="1"/>
  <c r="D34" i="6" s="1"/>
  <c r="D16" i="6"/>
  <c r="O16" i="6" s="1"/>
  <c r="P16" i="6" s="1"/>
  <c r="B13" i="6"/>
  <c r="D13" i="6" s="1"/>
  <c r="O13" i="6" s="1"/>
  <c r="P13" i="6" s="1"/>
  <c r="D27" i="6"/>
  <c r="O27" i="6" s="1"/>
  <c r="P27" i="6" s="1"/>
  <c r="B26" i="6"/>
  <c r="C49" i="6"/>
  <c r="B10" i="6"/>
  <c r="K31" i="6" l="1"/>
  <c r="O31" i="6"/>
  <c r="P31" i="6" s="1"/>
  <c r="K41" i="6"/>
  <c r="O41" i="6"/>
  <c r="P41" i="6" s="1"/>
  <c r="K30" i="6"/>
  <c r="O30" i="6"/>
  <c r="P30" i="6" s="1"/>
  <c r="K34" i="6"/>
  <c r="Q34" i="6" s="1"/>
  <c r="R34" i="6" s="1"/>
  <c r="O34" i="6"/>
  <c r="P34" i="6" s="1"/>
  <c r="G11" i="5"/>
  <c r="H11" i="5" s="1"/>
  <c r="I11" i="5"/>
  <c r="J11" i="5" s="1"/>
  <c r="I7" i="13"/>
  <c r="J7" i="13" s="1"/>
  <c r="K27" i="6"/>
  <c r="Q27" i="6" s="1"/>
  <c r="R27" i="6" s="1"/>
  <c r="K13" i="6"/>
  <c r="Q13" i="6" s="1"/>
  <c r="R13" i="6" s="1"/>
  <c r="K16" i="6"/>
  <c r="Q16" i="6" s="1"/>
  <c r="R16" i="6" s="1"/>
  <c r="Q31" i="6"/>
  <c r="R31" i="6" s="1"/>
  <c r="Q30" i="6"/>
  <c r="R30" i="6" s="1"/>
  <c r="Q41" i="6"/>
  <c r="R41" i="6" s="1"/>
  <c r="D35" i="6"/>
  <c r="D50" i="6"/>
  <c r="D52" i="6"/>
  <c r="B9" i="6"/>
  <c r="D10" i="6"/>
  <c r="O10" i="6" s="1"/>
  <c r="P10" i="6" s="1"/>
  <c r="K35" i="6" l="1"/>
  <c r="Q35" i="6" s="1"/>
  <c r="R35" i="6" s="1"/>
  <c r="O35" i="6"/>
  <c r="P35" i="6" s="1"/>
  <c r="K52" i="6"/>
  <c r="Q52" i="6" s="1"/>
  <c r="R52" i="6" s="1"/>
  <c r="O52" i="6"/>
  <c r="P52" i="6" s="1"/>
  <c r="K50" i="6"/>
  <c r="Q50" i="6" s="1"/>
  <c r="R50" i="6" s="1"/>
  <c r="O50" i="6"/>
  <c r="P50" i="6" s="1"/>
  <c r="K10" i="6"/>
  <c r="Q10" i="6" s="1"/>
  <c r="R10" i="6" s="1"/>
  <c r="B49" i="6"/>
  <c r="D49" i="6" s="1"/>
  <c r="B7" i="6"/>
  <c r="D9" i="6"/>
  <c r="O9" i="6" s="1"/>
  <c r="P9" i="6" s="1"/>
  <c r="B14" i="15"/>
  <c r="B9" i="15"/>
  <c r="B5" i="15"/>
  <c r="K49" i="6" l="1"/>
  <c r="O49" i="6"/>
  <c r="P49" i="6" s="1"/>
  <c r="K9" i="6"/>
  <c r="Q9" i="6" s="1"/>
  <c r="R9" i="6" s="1"/>
  <c r="C23" i="6"/>
  <c r="D23" i="6" s="1"/>
  <c r="O23" i="6" s="1"/>
  <c r="P23" i="6" s="1"/>
  <c r="Q49" i="6"/>
  <c r="R49" i="6" s="1"/>
  <c r="B12" i="15"/>
  <c r="B10" i="15"/>
  <c r="B4" i="15"/>
  <c r="B3" i="15"/>
  <c r="B2" i="15"/>
  <c r="B16" i="15"/>
  <c r="B15" i="15"/>
  <c r="B7" i="15"/>
  <c r="B11" i="15"/>
  <c r="B6" i="15"/>
  <c r="B13" i="15"/>
  <c r="B8" i="15"/>
  <c r="B17" i="15"/>
  <c r="B47" i="6"/>
  <c r="B55" i="6" s="1"/>
  <c r="D7" i="6"/>
  <c r="O7" i="6" s="1"/>
  <c r="P7" i="6" s="1"/>
  <c r="K7" i="6" l="1"/>
  <c r="Q7" i="6" s="1"/>
  <c r="R7" i="6" s="1"/>
  <c r="K23" i="6"/>
  <c r="Q23" i="6" s="1"/>
  <c r="R23" i="6" s="1"/>
  <c r="C24" i="6"/>
  <c r="D24" i="6" s="1"/>
  <c r="O24" i="6" s="1"/>
  <c r="P24" i="6" s="1"/>
  <c r="C22" i="6"/>
  <c r="D22" i="6" s="1"/>
  <c r="O22" i="6" s="1"/>
  <c r="P22" i="6" s="1"/>
  <c r="C28" i="6"/>
  <c r="D28" i="6" s="1"/>
  <c r="O28" i="6" s="1"/>
  <c r="P28" i="6" s="1"/>
  <c r="C43" i="6"/>
  <c r="D43" i="6" s="1"/>
  <c r="O43" i="6" s="1"/>
  <c r="P43" i="6" s="1"/>
  <c r="B1" i="15"/>
  <c r="K43" i="6" l="1"/>
  <c r="K22" i="6"/>
  <c r="Q22" i="6" s="1"/>
  <c r="R22" i="6" s="1"/>
  <c r="K28" i="6"/>
  <c r="Q28" i="6" s="1"/>
  <c r="R28" i="6" s="1"/>
  <c r="K24" i="6"/>
  <c r="Q24" i="6" s="1"/>
  <c r="R24" i="6" s="1"/>
  <c r="C26" i="6"/>
  <c r="D26" i="6" s="1"/>
  <c r="K26" i="6" s="1"/>
  <c r="C40" i="6"/>
  <c r="D40" i="6" s="1"/>
  <c r="O40" i="6" s="1"/>
  <c r="P40" i="6" s="1"/>
  <c r="B18" i="15"/>
  <c r="B19" i="15" s="1"/>
  <c r="C21" i="6"/>
  <c r="C20" i="6" s="1"/>
  <c r="D20" i="6" s="1"/>
  <c r="O20" i="6" s="1"/>
  <c r="P20" i="6" s="1"/>
  <c r="K20" i="6" l="1"/>
  <c r="Q20" i="6" s="1"/>
  <c r="R20" i="6" s="1"/>
  <c r="K40" i="6"/>
  <c r="Q40" i="6" s="1"/>
  <c r="R40" i="6" s="1"/>
  <c r="N26" i="6"/>
  <c r="M47" i="6"/>
  <c r="C47" i="6"/>
  <c r="C55" i="6" s="1"/>
  <c r="D21" i="6"/>
  <c r="O21" i="6" s="1"/>
  <c r="P21" i="6" s="1"/>
  <c r="D47" i="6"/>
  <c r="K47" i="6" s="1"/>
  <c r="O26" i="6" l="1"/>
  <c r="P26" i="6" s="1"/>
  <c r="K21" i="6"/>
  <c r="Q21" i="6" s="1"/>
  <c r="R21" i="6" s="1"/>
  <c r="N47" i="6"/>
  <c r="M55" i="6"/>
  <c r="N55" i="6" s="1"/>
  <c r="Q26" i="6"/>
  <c r="R26" i="6" s="1"/>
  <c r="D55" i="6"/>
  <c r="O47" i="6" l="1"/>
  <c r="P47" i="6" s="1"/>
  <c r="O55" i="6"/>
  <c r="P55" i="6" s="1"/>
  <c r="Q47" i="6"/>
  <c r="R47" i="6" s="1"/>
  <c r="K55" i="6"/>
  <c r="F4" i="13"/>
  <c r="G4" i="13" s="1"/>
  <c r="I12" i="5"/>
  <c r="J12" i="5" s="1"/>
  <c r="F17" i="13" l="1"/>
  <c r="G17" i="13" s="1"/>
  <c r="H17" i="13" s="1"/>
  <c r="H4" i="13"/>
  <c r="I4" i="13"/>
  <c r="J4" i="13" s="1"/>
  <c r="Q55" i="6"/>
  <c r="R55" i="6" s="1"/>
  <c r="I17" i="13" l="1"/>
  <c r="J17" i="13" s="1"/>
  <c r="D1796" i="17"/>
  <c r="J1796" i="17" s="1"/>
  <c r="K1796" i="17" s="1"/>
  <c r="D1805" i="17" l="1"/>
  <c r="J1805" i="17" s="1"/>
  <c r="K1805" i="17" s="1"/>
  <c r="H1796" i="17"/>
  <c r="L1796" i="17" s="1"/>
  <c r="M1796" i="17" s="1"/>
  <c r="H1805" i="17" l="1"/>
  <c r="L1805" i="17" s="1"/>
  <c r="M1805" i="17" s="1"/>
  <c r="D1807" i="17"/>
  <c r="J1807" i="17" s="1"/>
  <c r="K1807" i="17" s="1"/>
  <c r="D1832" i="17"/>
  <c r="H1832" i="17" l="1"/>
  <c r="L1832" i="17" s="1"/>
  <c r="M1832" i="17" s="1"/>
  <c r="J1832" i="17"/>
  <c r="K1832" i="17" s="1"/>
  <c r="H1807" i="17"/>
  <c r="L1807" i="17" s="1"/>
  <c r="M1807" i="17" s="1"/>
  <c r="D1842" i="17"/>
  <c r="D1808" i="17"/>
  <c r="H1842" i="17" l="1"/>
  <c r="L1842" i="17" s="1"/>
  <c r="M1842" i="17" s="1"/>
  <c r="J1842" i="17"/>
  <c r="K1842" i="17" s="1"/>
  <c r="H1808" i="17"/>
  <c r="L1808" i="17" s="1"/>
  <c r="J1808" i="17"/>
  <c r="D1843" i="17"/>
  <c r="H1843" i="17" l="1"/>
  <c r="L1843" i="17" s="1"/>
  <c r="M1843" i="17" s="1"/>
  <c r="J1843" i="17"/>
  <c r="I31" i="5"/>
  <c r="J31" i="5" s="1"/>
  <c r="F26" i="5"/>
  <c r="G26" i="5" s="1"/>
  <c r="H26" i="5" s="1"/>
  <c r="I26" i="5" l="1"/>
  <c r="J26" i="5" s="1"/>
  <c r="F25" i="5"/>
  <c r="F84" i="5" l="1"/>
  <c r="G84" i="5" s="1"/>
  <c r="H84" i="5" s="1"/>
  <c r="G25" i="5"/>
  <c r="H25" i="5" s="1"/>
  <c r="I25" i="5"/>
  <c r="J25" i="5" s="1"/>
  <c r="I84" i="5" l="1"/>
  <c r="J84" i="5" l="1"/>
  <c r="G23" i="13" l="1"/>
  <c r="H23" i="13" s="1"/>
  <c r="I23" i="13" l="1"/>
  <c r="J23" i="13" s="1"/>
  <c r="F19" i="13"/>
  <c r="G19" i="13" s="1"/>
  <c r="H19" i="13" s="1"/>
  <c r="I19" i="13" l="1"/>
  <c r="J19" i="13" s="1"/>
  <c r="F32" i="13"/>
  <c r="G32" i="13" s="1"/>
  <c r="H32" i="13" s="1"/>
  <c r="F39" i="13" l="1"/>
  <c r="I32" i="13"/>
  <c r="J32" i="13" s="1"/>
  <c r="G21" i="5"/>
  <c r="H21" i="5" s="1"/>
  <c r="F7" i="5"/>
  <c r="G7" i="5" l="1"/>
  <c r="I7" i="5"/>
  <c r="J7" i="5" s="1"/>
  <c r="I21" i="5"/>
  <c r="J21" i="5" s="1"/>
  <c r="I39" i="13"/>
  <c r="J39" i="13" s="1"/>
  <c r="G39" i="13"/>
  <c r="H39" i="13" s="1"/>
  <c r="F83" i="5"/>
  <c r="G83" i="5" s="1"/>
  <c r="H83" i="5" s="1"/>
  <c r="H7" i="5"/>
  <c r="F34" i="5"/>
  <c r="G34" i="5" s="1"/>
  <c r="H34" i="5" s="1"/>
  <c r="I83" i="5" l="1"/>
  <c r="I34" i="5"/>
  <c r="J34" i="5" s="1"/>
  <c r="F38" i="5"/>
  <c r="G38" i="5" s="1"/>
  <c r="H38" i="5" s="1"/>
  <c r="I38" i="5" l="1"/>
  <c r="J38" i="5" s="1"/>
  <c r="J83" i="5"/>
  <c r="I8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 Altermann</author>
  </authors>
  <commentList>
    <comment ref="F95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186"/>
          </rPr>
          <t>Anne Altermann:</t>
        </r>
        <r>
          <rPr>
            <sz val="9"/>
            <color indexed="81"/>
            <rFont val="Tahoma"/>
            <family val="2"/>
            <charset val="186"/>
          </rPr>
          <t xml:space="preserve">
FT poolt juurde planeeritud TTG Edu Valem lepingu pikendus summas 19770 €. Uus periood 01.08.2021 - 30.06.2023. Lisaks uus leping Lasnamäe Põhikool perioodiga 01.09.2021 -  summas 8670 € (289m2 * 2,5€*12 kuud)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 Viinapuu</author>
  </authors>
  <commentList>
    <comment ref="F714" authorId="0" shapeId="0" xr:uid="{00000000-0006-0000-0C00-000002000000}">
      <text>
        <r>
          <rPr>
            <b/>
            <sz val="9"/>
            <color indexed="81"/>
            <rFont val="Tahoma"/>
            <family val="2"/>
            <charset val="186"/>
          </rPr>
          <t>Anne Viinapuu:</t>
        </r>
        <r>
          <rPr>
            <sz val="9"/>
            <color indexed="81"/>
            <rFont val="Tahoma"/>
            <family val="2"/>
            <charset val="186"/>
          </rPr>
          <t xml:space="preserve">
2021 on eelarves koos keskmise puude 60 tuh-ga 1 656 840 €. Keskm puue on alamfond!</t>
        </r>
      </text>
    </comment>
  </commentList>
</comments>
</file>

<file path=xl/sharedStrings.xml><?xml version="1.0" encoding="utf-8"?>
<sst xmlns="http://schemas.openxmlformats.org/spreadsheetml/2006/main" count="3183" uniqueCount="1151">
  <si>
    <t>toetused riigilt ja muudelt institutsioonidelt</t>
  </si>
  <si>
    <t>TOETUSED</t>
  </si>
  <si>
    <t>investeeringuteks</t>
  </si>
  <si>
    <t>Välisrahastus kokku</t>
  </si>
  <si>
    <t>Toetused kokku</t>
  </si>
  <si>
    <r>
      <t xml:space="preserve">sh </t>
    </r>
    <r>
      <rPr>
        <u/>
        <sz val="10"/>
        <rFont val="Arial"/>
        <family val="2"/>
        <charset val="186"/>
      </rPr>
      <t>tegevuskuludeks</t>
    </r>
  </si>
  <si>
    <t>Põhitegevuse tulud (+)</t>
  </si>
  <si>
    <t>Maksutulud</t>
  </si>
  <si>
    <t>Tulud kaupade ja teenuste müügist</t>
  </si>
  <si>
    <t>Saadavad toetused tegevuskuludeks</t>
  </si>
  <si>
    <t>Muud tegevustulud</t>
  </si>
  <si>
    <t>Põhitegevuse kulud (-)</t>
  </si>
  <si>
    <t>Antavad toetused tegevuskuludeks</t>
  </si>
  <si>
    <t>Muud tegevuskulud</t>
  </si>
  <si>
    <t>PÕHITEGEVUSE TULEM</t>
  </si>
  <si>
    <t>Investeerimistegevus</t>
  </si>
  <si>
    <t>Põhivara müük (+)</t>
  </si>
  <si>
    <t>Põhivara soetus (-)</t>
  </si>
  <si>
    <t>Saadav sihtfinantseerimine (+)</t>
  </si>
  <si>
    <t>Antav sihtfinantseerimine (-)</t>
  </si>
  <si>
    <t>Finantstulud (+)</t>
  </si>
  <si>
    <t>Finantskulud (-)</t>
  </si>
  <si>
    <t>EELARVE TULEM</t>
  </si>
  <si>
    <t>Finantseerimistegevus</t>
  </si>
  <si>
    <t>Kohustuste võtmine (+)</t>
  </si>
  <si>
    <t>Kohustuste tasumine (-)</t>
  </si>
  <si>
    <t>Likviidsete varade muutus</t>
  </si>
  <si>
    <t>Nõuete ja kohustuste saldode muutus</t>
  </si>
  <si>
    <t>Sunniraha</t>
  </si>
  <si>
    <t>Muud erakorralised tulud</t>
  </si>
  <si>
    <t>Müüdud vara jääkmaksumus</t>
  </si>
  <si>
    <t>RAHAKÄIBE PROGNOOS</t>
  </si>
  <si>
    <t xml:space="preserve">Laekumised haldustegevusest </t>
  </si>
  <si>
    <t xml:space="preserve"> Tulude laekumine</t>
  </si>
  <si>
    <t xml:space="preserve"> Toetused</t>
  </si>
  <si>
    <t>Väljamaksed haldustegevuseks</t>
  </si>
  <si>
    <t xml:space="preserve">Haldustegevus kokku </t>
  </si>
  <si>
    <t xml:space="preserve">Laekumised investeerimistegevusest </t>
  </si>
  <si>
    <t>Väljamaksed investeerimistegevuseks</t>
  </si>
  <si>
    <t xml:space="preserve">Investeerimistegevus kokku </t>
  </si>
  <si>
    <t>Laekumised finantseerimistegevusest</t>
  </si>
  <si>
    <t>Väljamaksed finantseerimistegevuseks</t>
  </si>
  <si>
    <t xml:space="preserve">Finantseerimistegevus kokku </t>
  </si>
  <si>
    <t>Laekumised kokku</t>
  </si>
  <si>
    <t>Väljamaksed kokku</t>
  </si>
  <si>
    <t>FINANTSEERIMISTEGEVUSE EELARVE</t>
  </si>
  <si>
    <t>Laenukohustuse suurenemine</t>
  </si>
  <si>
    <t>Laenukohustuse vähenemine</t>
  </si>
  <si>
    <t>Linnavolikogu Kantselei</t>
  </si>
  <si>
    <t>KOKKU OMATULUD</t>
  </si>
  <si>
    <t>Tulud majandustegevusest</t>
  </si>
  <si>
    <t>Võlalt arvestatud intressitulu</t>
  </si>
  <si>
    <t>KOKKU</t>
  </si>
  <si>
    <t>€</t>
  </si>
  <si>
    <t>KOONDEELARVE</t>
  </si>
  <si>
    <t>TULEMI PROGNOOS</t>
  </si>
  <si>
    <t>Riiklikud maksud</t>
  </si>
  <si>
    <t>Kohalikud maksud</t>
  </si>
  <si>
    <t>Lõivud</t>
  </si>
  <si>
    <t>Kaupade ja teenuste müük</t>
  </si>
  <si>
    <t>Muud tulud</t>
  </si>
  <si>
    <t>Finantstulu</t>
  </si>
  <si>
    <t>Vara müük</t>
  </si>
  <si>
    <t>Müüdava vara jääkmaksumus</t>
  </si>
  <si>
    <t>Vara müügi kulud</t>
  </si>
  <si>
    <t>Muud tulud varalt</t>
  </si>
  <si>
    <t>Dividendid</t>
  </si>
  <si>
    <t>Toetused riigilt ja muudelt institutsioonidelt</t>
  </si>
  <si>
    <t>Välisrahastus</t>
  </si>
  <si>
    <t>Põhitegevuse kulud, sh</t>
  </si>
  <si>
    <t>tegevuskulud riigi ja muude institutsioonide toetuste arvelt</t>
  </si>
  <si>
    <t>tegevuskulud välisrahastuse arvelt</t>
  </si>
  <si>
    <t>muud tegevuskulud</t>
  </si>
  <si>
    <t>Investeeringuprojektide kulud</t>
  </si>
  <si>
    <t>EELARVE TEGEVUSTULEM</t>
  </si>
  <si>
    <t>Amortisatsioon</t>
  </si>
  <si>
    <t>EELARVE AASTA TULEM KOKKU</t>
  </si>
  <si>
    <t>MUUTUSED BILANSIS</t>
  </si>
  <si>
    <t>MUUTUS MITTEFINANTSVARADES</t>
  </si>
  <si>
    <t>Põhivara soetus ja renoveerimine</t>
  </si>
  <si>
    <t>Müüdava vara jääkväärtus</t>
  </si>
  <si>
    <t>MUUTUS MITTEFINANTSVARADES KOKKU</t>
  </si>
  <si>
    <t>MUUTUS LAENUKOHUSTUSTES KOKKU</t>
  </si>
  <si>
    <t>Laenude võtmine</t>
  </si>
  <si>
    <t>Laenude tagasimaksed</t>
  </si>
  <si>
    <t xml:space="preserve">Kapitaliliisingu maksed </t>
  </si>
  <si>
    <t>MUUTUS NETOVARAS</t>
  </si>
  <si>
    <t>SISSETULEKUD</t>
  </si>
  <si>
    <t>VÄLJAMINEKUD</t>
  </si>
  <si>
    <t>TULUDE EELARVE</t>
  </si>
  <si>
    <t>Tululiik</t>
  </si>
  <si>
    <t>Linnakassa</t>
  </si>
  <si>
    <t>Omatulud</t>
  </si>
  <si>
    <t>Eelarve kokku</t>
  </si>
  <si>
    <t>Maksutulud kokku</t>
  </si>
  <si>
    <t>Üksikisiku tulumaks</t>
  </si>
  <si>
    <t>Maamaks</t>
  </si>
  <si>
    <t>Reklaamimaks</t>
  </si>
  <si>
    <t>Parkimistasu</t>
  </si>
  <si>
    <t>Trahvid</t>
  </si>
  <si>
    <t>Tulu finantsvara investeerimisest</t>
  </si>
  <si>
    <t>Kasum vara müügist</t>
  </si>
  <si>
    <t>Tulud kokku (v.a toetused)</t>
  </si>
  <si>
    <t>Toetused</t>
  </si>
  <si>
    <t>sh riigilt jm institutsioonidelt</t>
  </si>
  <si>
    <t>välisrahastus</t>
  </si>
  <si>
    <t>LINNAKASSA TULUD</t>
  </si>
  <si>
    <t>Transpordiamet</t>
  </si>
  <si>
    <t>Linnaplaneerimise Amet</t>
  </si>
  <si>
    <t>Hoonestusõiguse tasu</t>
  </si>
  <si>
    <t>Linnavaraamet</t>
  </si>
  <si>
    <t>Kasutusõiguse tasu</t>
  </si>
  <si>
    <t>Munitsipaalpolitsei Amet</t>
  </si>
  <si>
    <t>Tulu vara müügist</t>
  </si>
  <si>
    <t>Võlalt arvestatud tulu</t>
  </si>
  <si>
    <t xml:space="preserve">KULUDE EELARVE </t>
  </si>
  <si>
    <t xml:space="preserve">Katteallikad </t>
  </si>
  <si>
    <t>sh omatulud</t>
  </si>
  <si>
    <t>linnakassa</t>
  </si>
  <si>
    <t>sellest töötasu</t>
  </si>
  <si>
    <t>Haridusameti haldusala</t>
  </si>
  <si>
    <t>Reservid</t>
  </si>
  <si>
    <t>OMATULUD</t>
  </si>
  <si>
    <t>1. Linnavolikogu Kantselei</t>
  </si>
  <si>
    <t>Üür ja rent</t>
  </si>
  <si>
    <t>Muu toodete ja teenuste müük</t>
  </si>
  <si>
    <t>Tulud tugiteenustest</t>
  </si>
  <si>
    <t xml:space="preserve">Tulud haridusalasest tegevusest </t>
  </si>
  <si>
    <t>Tulud kultuuri- ja kunstialasest tegevusest</t>
  </si>
  <si>
    <t>Tulud spordi- ja puhkealasest tegevusest</t>
  </si>
  <si>
    <t>Eespool nimetamata muud tulud</t>
  </si>
  <si>
    <t>Õiguste müük</t>
  </si>
  <si>
    <t>Elamu- ja kommunaaltegevuse tulud</t>
  </si>
  <si>
    <t>Tulud muudelt majandusaladelt</t>
  </si>
  <si>
    <t>Tulud sotsiaalabialasest tegevusest</t>
  </si>
  <si>
    <t>Tulud tervishoiualasest tegevusest</t>
  </si>
  <si>
    <t>Tulud transporditeenustest</t>
  </si>
  <si>
    <t>Tulu keskkonnaalasest tegevusest</t>
  </si>
  <si>
    <t>Maksed teenuste kontsessioonilepingu raames</t>
  </si>
  <si>
    <t>Teede ja tänavate sulgemise maks</t>
  </si>
  <si>
    <t>Loodusvarade kasutusõiguse tasu</t>
  </si>
  <si>
    <t>EELARVE KOHALIKU OMAVALITSUSE ÜKSUSE FINANTSJUHTIMISE SEADUSE JÄRGI</t>
  </si>
  <si>
    <t>Kasum/kahjum varude müügist</t>
  </si>
  <si>
    <t>Teenuste kontsessioonilepingu raames renoveeritud koolid</t>
  </si>
  <si>
    <t>sh teede ja tänavate korrashoid</t>
  </si>
  <si>
    <t xml:space="preserve">  Maksud</t>
  </si>
  <si>
    <t xml:space="preserve">   sh tulumaks</t>
  </si>
  <si>
    <t xml:space="preserve">        maamaks</t>
  </si>
  <si>
    <t xml:space="preserve">        kohalikud maksud</t>
  </si>
  <si>
    <t xml:space="preserve"> Tegevustulu</t>
  </si>
  <si>
    <t xml:space="preserve"> Muud tulud</t>
  </si>
  <si>
    <t xml:space="preserve">  sh riigilt</t>
  </si>
  <si>
    <t xml:space="preserve">       välisrahastus</t>
  </si>
  <si>
    <t xml:space="preserve">   sh tegevuskulu</t>
  </si>
  <si>
    <t xml:space="preserve">       finantskulud</t>
  </si>
  <si>
    <t xml:space="preserve">   sh põhivara müük</t>
  </si>
  <si>
    <t xml:space="preserve">       saadud dividendid</t>
  </si>
  <si>
    <t xml:space="preserve">       finantstulu</t>
  </si>
  <si>
    <t xml:space="preserve">   sh põhivara soetamine</t>
  </si>
  <si>
    <t xml:space="preserve">  sh eelarvelaenu võtmine/võlakirjade emiteerimine</t>
  </si>
  <si>
    <t>MUUTUSED VARADES</t>
  </si>
  <si>
    <t>MUUTUSED KOHUSTUSTES</t>
  </si>
  <si>
    <t>äriruumide üüritulu</t>
  </si>
  <si>
    <t>kommunaalteenused</t>
  </si>
  <si>
    <t>muud eespoolnimetamata tulud majandustegevusest</t>
  </si>
  <si>
    <t>teenused</t>
  </si>
  <si>
    <t>4. Perekonnaseisuamet</t>
  </si>
  <si>
    <t>5. Haridusameti haldusala</t>
  </si>
  <si>
    <t>huviringi osalustasu</t>
  </si>
  <si>
    <t>tehniliste vahendite ja inventari laenutamine</t>
  </si>
  <si>
    <t>piletitulu</t>
  </si>
  <si>
    <t>noortekeskuse muud tasulised teenused</t>
  </si>
  <si>
    <t>noortelaagri teenused</t>
  </si>
  <si>
    <t>ringitasu</t>
  </si>
  <si>
    <t>müügitulu</t>
  </si>
  <si>
    <t>kultuuriasutuse ruumide kasutamine üritusteks</t>
  </si>
  <si>
    <t>tulu parkimisest</t>
  </si>
  <si>
    <t>reklaamitulu</t>
  </si>
  <si>
    <t>spordiasutuse tasulised teenused</t>
  </si>
  <si>
    <t>eluruumide üüritulu</t>
  </si>
  <si>
    <t>muu tulu majandustegevusest</t>
  </si>
  <si>
    <t>hooldustasu</t>
  </si>
  <si>
    <t>toitlustustasu</t>
  </si>
  <si>
    <t>õppekulude tasu</t>
  </si>
  <si>
    <t>majutusteenus</t>
  </si>
  <si>
    <t>pesupesemisteenus</t>
  </si>
  <si>
    <t>linnarajatiste reklaamitulu</t>
  </si>
  <si>
    <t>tulu müügipiletite realiseerimisest</t>
  </si>
  <si>
    <t>tulu kaubandustegevusest</t>
  </si>
  <si>
    <t>kliendi osalustasu koduteenuste osutamisel</t>
  </si>
  <si>
    <t>muud tulud</t>
  </si>
  <si>
    <t>huviringide osalustasu</t>
  </si>
  <si>
    <t>muud päevakeskuse teenused</t>
  </si>
  <si>
    <t>Kulud kokku</t>
  </si>
  <si>
    <t xml:space="preserve">Linnakantselei </t>
  </si>
  <si>
    <t>Perekonnaseisuamet</t>
  </si>
  <si>
    <t>Toode:</t>
  </si>
  <si>
    <t>Muud eelarvepositsioonid</t>
  </si>
  <si>
    <t>Tootevaldkond: kultuur</t>
  </si>
  <si>
    <t>Tootegrupp: sportimisvõimaluste tagamine</t>
  </si>
  <si>
    <t>Tootevaldkond: noorsootöö</t>
  </si>
  <si>
    <t>Tootegrupp: noorsootöö</t>
  </si>
  <si>
    <t>Sotsiaal- ja Tervishoiuameti haldusala</t>
  </si>
  <si>
    <t>Tootevaldkond: sotsiaalhoolekanne</t>
  </si>
  <si>
    <t>Tootegrupp: puuetega isikute hoolekanne</t>
  </si>
  <si>
    <t>Sotsiaaltransporditeenus (a)</t>
  </si>
  <si>
    <t>Viipekeeleteenus</t>
  </si>
  <si>
    <t>Isikliku abistaja teenused</t>
  </si>
  <si>
    <t>Töö- ja rakenduskeskuse teenused</t>
  </si>
  <si>
    <t>Puudega inimese perekonda toetavad teenused</t>
  </si>
  <si>
    <t>Tootegrupp: eakate hoolekanne</t>
  </si>
  <si>
    <t>Eaka inimese perekonda toetavad teenused</t>
  </si>
  <si>
    <t>Sotsiaalvalve teenus</t>
  </si>
  <si>
    <t>Eakate päevakeskuste haldamine</t>
  </si>
  <si>
    <t>Omastehooldaja asendusteenus</t>
  </si>
  <si>
    <t>Tootegrupp: laste hoolekanne</t>
  </si>
  <si>
    <t>laste toitlustamine päevakeskustes</t>
  </si>
  <si>
    <t>Tootegrupp: muude kriisirühmade hoolekanne</t>
  </si>
  <si>
    <t>Sotsiaalselt tundlike sihtgruppide rehabilitatsiooniteenused</t>
  </si>
  <si>
    <t>Kodutute öömaja- ja varjupaigateenused</t>
  </si>
  <si>
    <t>Supiköögiteenused</t>
  </si>
  <si>
    <t>Õigusalane nõustamine</t>
  </si>
  <si>
    <t>Toimetulekut soodustavad teenused</t>
  </si>
  <si>
    <t>sh Tšernobõli sotsiaalprogramm</t>
  </si>
  <si>
    <t>toiduabi</t>
  </si>
  <si>
    <t>Vältimatu sotsiaalabi</t>
  </si>
  <si>
    <t>Kriisiabi</t>
  </si>
  <si>
    <t>Sotsiaalhoolekanne</t>
  </si>
  <si>
    <t>Sotsiaal- ja Tervishoiuamet</t>
  </si>
  <si>
    <t>Puuetega inimeste hooldajatoetus (a)</t>
  </si>
  <si>
    <t>Toetused lastele ja peredele (a)</t>
  </si>
  <si>
    <t>toetused toimetulekuraskustes peredele</t>
  </si>
  <si>
    <t>lapsehoiuteenuse hüvitis</t>
  </si>
  <si>
    <t>Toetused eakatele</t>
  </si>
  <si>
    <t>teenustasu Eesti Postile</t>
  </si>
  <si>
    <t>Toetused erivajadustega inimestele (a)</t>
  </si>
  <si>
    <t>puudega lapse toetus</t>
  </si>
  <si>
    <t>eluruumi kohandamise hüvitis puudega inimesele (ü)</t>
  </si>
  <si>
    <t>Mittetulundustegevuse toetamine</t>
  </si>
  <si>
    <t>muu mittetulundustegevuse toetamine</t>
  </si>
  <si>
    <t>Tervishoid</t>
  </si>
  <si>
    <t>Tallinna Kiirabi</t>
  </si>
  <si>
    <t>Mitmesugused tervishoiukulud</t>
  </si>
  <si>
    <t xml:space="preserve">õendusabi korraldamine </t>
  </si>
  <si>
    <t>Ravikindlustusega hõlmamata isikute ravikulud (a)</t>
  </si>
  <si>
    <t>Laste visiiditasust vabastamine</t>
  </si>
  <si>
    <t>Kainestusmaja haldamine</t>
  </si>
  <si>
    <t>Noorte nõustamiskeskuste haldamine</t>
  </si>
  <si>
    <t>Tegevustoetus Sotsiaalrehabilitatsiooni Keskusele Loksa</t>
  </si>
  <si>
    <t>Tootevaldkond: linnamajandus</t>
  </si>
  <si>
    <t>Tootegrupp: elamumajandus</t>
  </si>
  <si>
    <t>Elamute majandamine</t>
  </si>
  <si>
    <t>Äriruumide majandamine</t>
  </si>
  <si>
    <t>Tootevaldkond: ettevõtluskeskkond</t>
  </si>
  <si>
    <t>Tootegrupp: ettevõtluse arendamine</t>
  </si>
  <si>
    <t>Tootegrupp: turismi arendamine</t>
  </si>
  <si>
    <t>Konverentsiturism</t>
  </si>
  <si>
    <t>Kultuuriturism</t>
  </si>
  <si>
    <t>Turismiturundus</t>
  </si>
  <si>
    <t>Turismiinfoteenused</t>
  </si>
  <si>
    <t>Turismiinfrastruktuuri ja teenuste kvaliteedi arendus</t>
  </si>
  <si>
    <t>Statistika ja uuringud</t>
  </si>
  <si>
    <t>Tarbijakaitse</t>
  </si>
  <si>
    <t>Tootegrupp: kaubandus</t>
  </si>
  <si>
    <t>Tallinna Turud</t>
  </si>
  <si>
    <t>praktikajuhendaja toetus</t>
  </si>
  <si>
    <t>messitoetus</t>
  </si>
  <si>
    <t>Tootevaldkond: heakord</t>
  </si>
  <si>
    <t>Tootegrupp: haljastus</t>
  </si>
  <si>
    <t>Muud heakorrakulud</t>
  </si>
  <si>
    <t>Haabersti Linnaosa Valitsuse haldusala</t>
  </si>
  <si>
    <t>Tootegrupp: toimetulekuraskustes isikute hoolekanne</t>
  </si>
  <si>
    <t>Linnaosa valitsus</t>
  </si>
  <si>
    <t>Sotsiaaltoetused</t>
  </si>
  <si>
    <t>Randade hooldus</t>
  </si>
  <si>
    <t>Üksikkorterite majandamine</t>
  </si>
  <si>
    <t>Linnaosa valitsuse reservfond</t>
  </si>
  <si>
    <t>Kristiine Linnaosa Valitsuse haldusala</t>
  </si>
  <si>
    <t>Lasnamäe Linnaosa Valitsuse haldusala</t>
  </si>
  <si>
    <t>Mustamäe Linnaosa Valitsuse haldusala</t>
  </si>
  <si>
    <t>Nõmme Linnaosa Valitsuse haldusala</t>
  </si>
  <si>
    <t>Pirita Linnaosa Valitsuse haldusala</t>
  </si>
  <si>
    <t>Põhja-Tallinna Valitsuse haldusala</t>
  </si>
  <si>
    <t>finantsteenused</t>
  </si>
  <si>
    <t>muud tasulised teenused</t>
  </si>
  <si>
    <t>ruumide kasutamine üritusteks</t>
  </si>
  <si>
    <t xml:space="preserve">äriruumide üüritulu </t>
  </si>
  <si>
    <t>hoolekandeasutuse ruumide kasutamine üritusteks</t>
  </si>
  <si>
    <t>hoolekande muud teenused</t>
  </si>
  <si>
    <t>noortekeskuse ruumide kasutamise üritusteks</t>
  </si>
  <si>
    <t>5.1. Haridusamet</t>
  </si>
  <si>
    <t>teistelt kohalikelt omavalitsustelt koolide ja koolieelsete lasteasutuste tegevuskulude katteks</t>
  </si>
  <si>
    <t>teistelt kohalikelt omavalitsustelt huvikoolide tegevuskulude katteks</t>
  </si>
  <si>
    <t>5.2. Koolieelsed lasteasutused</t>
  </si>
  <si>
    <t>koolieelse lasteasutuse toitlustustasu</t>
  </si>
  <si>
    <t>koolieelse lasteasutuse kohatasu</t>
  </si>
  <si>
    <t>laste hoiu kohatasu</t>
  </si>
  <si>
    <t>laste hoiu toitlustustasu</t>
  </si>
  <si>
    <t>haridusasutuse ruumide kasutamine üritusteks</t>
  </si>
  <si>
    <t>5.3. Põhikoolid ja gümnaasiumid</t>
  </si>
  <si>
    <t>koolitoidutasu</t>
  </si>
  <si>
    <t>õppetasu</t>
  </si>
  <si>
    <t>muusikamaja ruumide kasutamine</t>
  </si>
  <si>
    <t>muusikamaja muud teenused</t>
  </si>
  <si>
    <t>5.4. Tallinna Kopli Ametikool</t>
  </si>
  <si>
    <t>ametikooli õppetasu</t>
  </si>
  <si>
    <t>5.5. Huvikoolid</t>
  </si>
  <si>
    <t>laagriteenused</t>
  </si>
  <si>
    <t>5.6. Tallinna Õpetajate Maja</t>
  </si>
  <si>
    <t>6.2. Tallinna Keskraamatukogu</t>
  </si>
  <si>
    <t>kultuuriasutuse muu teenus</t>
  </si>
  <si>
    <t>muu vara üür ja rent</t>
  </si>
  <si>
    <t>dementsete vanurite päevahoiu tasu</t>
  </si>
  <si>
    <t>noortekeskuse ruumide kasutamine üritusteks</t>
  </si>
  <si>
    <t>Haridusamet</t>
  </si>
  <si>
    <t>Tallinna Keskraamatukogule teavikute soetamine</t>
  </si>
  <si>
    <t>Tootevaldkond: haridus</t>
  </si>
  <si>
    <t>Tootegrupp: lastehoid ja alusharidus</t>
  </si>
  <si>
    <t>laste hoiu projekt</t>
  </si>
  <si>
    <t>eesti keele õpe vene õppekeelega rühmades</t>
  </si>
  <si>
    <t>finantskulud (a)</t>
  </si>
  <si>
    <t>Tootegrupp: kutseharidus</t>
  </si>
  <si>
    <t>Tootegrupp: huviharidus</t>
  </si>
  <si>
    <t>Tootegrupp: hariduse tugiteenused</t>
  </si>
  <si>
    <t>Tallinna Õpetajate Maja</t>
  </si>
  <si>
    <t>Tallinna Õppenõustamiskeskus</t>
  </si>
  <si>
    <t>Haridusalased tugiteenused</t>
  </si>
  <si>
    <t>haridustöötajate tunnustamine</t>
  </si>
  <si>
    <t>IKT keskkond</t>
  </si>
  <si>
    <t>välisrahastuse arvelt</t>
  </si>
  <si>
    <t>Ülelinnalised kultuuriüritused ja -projektid*</t>
  </si>
  <si>
    <t>Olulisemad üritused:</t>
  </si>
  <si>
    <t>Hiina uusaasta</t>
  </si>
  <si>
    <t>Tallinna päev</t>
  </si>
  <si>
    <t>Kristjan Raua kunstipreemia</t>
  </si>
  <si>
    <t>Tallinna Merepäevad</t>
  </si>
  <si>
    <t>Birgitta festival</t>
  </si>
  <si>
    <t>Kultuuriöö</t>
  </si>
  <si>
    <t>Rahvuskultuuride päev</t>
  </si>
  <si>
    <t>Hingedepäeva kontsert</t>
  </si>
  <si>
    <t>Jõulukontsert</t>
  </si>
  <si>
    <t>Talveöö unenägu</t>
  </si>
  <si>
    <t>* Eelarve täitmisel on linnavalitsusel õigus muuta summade jaotust ülelinnaliste kultuuriürituste üldsumma piires.</t>
  </si>
  <si>
    <t>Kultuuriprojektide ja -organisatsioonide toetamine</t>
  </si>
  <si>
    <t>Jazzkaare Sõprade Ühing</t>
  </si>
  <si>
    <t>Eesti Kooriühing</t>
  </si>
  <si>
    <t>Laulu- ja Tantsupeo Slaavi pärg Korralduskomitee</t>
  </si>
  <si>
    <t xml:space="preserve">Mittetulundusühing Mustonenfest   </t>
  </si>
  <si>
    <t>Toetus Revali Raeapteegi Muuseumi Ühingule</t>
  </si>
  <si>
    <t>Tallinna teeneka kultuuritegelase preemia</t>
  </si>
  <si>
    <t>Vanalinna päevad</t>
  </si>
  <si>
    <t>Sotsiaalabi osutamine juhtumikorralduse põhimõttel</t>
  </si>
  <si>
    <t>Turvalisuse projektid</t>
  </si>
  <si>
    <t>rehabilitatsiooniteenus</t>
  </si>
  <si>
    <t>psüühiliste erivajadustega inimeste hoolekandeteenus</t>
  </si>
  <si>
    <t>juhtkoera pidamise toetus</t>
  </si>
  <si>
    <t>sotsiaalmajutusüksuse saunateenus</t>
  </si>
  <si>
    <t>piletimüügi teenustasu</t>
  </si>
  <si>
    <t>tulu koolibussi teenuse osutamisest teistele valdadele</t>
  </si>
  <si>
    <t>veetranspordi piletitulu</t>
  </si>
  <si>
    <t>veoseloa tasu</t>
  </si>
  <si>
    <t>kindlustushüvitised</t>
  </si>
  <si>
    <t>haljastusteenused</t>
  </si>
  <si>
    <t>tasu jäätmete vastuvõtmise eest jäätmejaamas</t>
  </si>
  <si>
    <t>kalmistuteenused</t>
  </si>
  <si>
    <t>väikeloomade krematooriumiteenus</t>
  </si>
  <si>
    <t>väikeloomade transport</t>
  </si>
  <si>
    <t>muud botaanikaaia tasulised teenused</t>
  </si>
  <si>
    <t>looduskooli tasu</t>
  </si>
  <si>
    <t>jäätmeveo teenustasu</t>
  </si>
  <si>
    <t>sauna piletitulu</t>
  </si>
  <si>
    <t>Tallinna kinnisvararegister</t>
  </si>
  <si>
    <t>Elamumajanduse muud kulud</t>
  </si>
  <si>
    <t>Loopealse elurajooni üürimaksed</t>
  </si>
  <si>
    <t>Raadiku elurajooni üürimaksed</t>
  </si>
  <si>
    <t>ohtlike ja linnapilti risustavate hoonete lammutamine</t>
  </si>
  <si>
    <t>elamumajandusprojektide toetamine</t>
  </si>
  <si>
    <t>Tootevaldkond: linnatransport</t>
  </si>
  <si>
    <t>Tootegrupp: ühistransport</t>
  </si>
  <si>
    <t>Liinivedu</t>
  </si>
  <si>
    <t>Piletimajandus</t>
  </si>
  <si>
    <t>Tootegrupp: liikluskorraldus*</t>
  </si>
  <si>
    <t>ühistranspordi ootepaviljonide hooldus</t>
  </si>
  <si>
    <t>ühistranspordi peatuste info</t>
  </si>
  <si>
    <t>sadamate haldus</t>
  </si>
  <si>
    <t>Ühistranspordi uuringud ja projektid</t>
  </si>
  <si>
    <t>muud uuringud ja projektid</t>
  </si>
  <si>
    <t>Tootevaldkond: teed ja tänavad*</t>
  </si>
  <si>
    <t>Tootegrupp: teetööd</t>
  </si>
  <si>
    <t>Teerajatiste korrashoid</t>
  </si>
  <si>
    <t>Jalakäijate tunnelite hooldus</t>
  </si>
  <si>
    <t>Tootegrupp: tänavavalgustus</t>
  </si>
  <si>
    <t>* Eelarve täitmisel on linnavalitsusel õigus muuta summade jaotust tootevaldkonna üldsumma piires.</t>
  </si>
  <si>
    <t>Vesi ja kanalisatsioon*</t>
  </si>
  <si>
    <t>tulekustutusvee tasud ja tuletõrjehüdrantide hoolduskulud</t>
  </si>
  <si>
    <t>Tallinna ühisveevärgi ja -kanalisatsiooni arendamise kava</t>
  </si>
  <si>
    <t>toetus Tallinna Vee-ettevõtjate Järelevalve SA-le</t>
  </si>
  <si>
    <t>* Eelarve täitmisel on linnavalitsusel õigus muuta summade jaotust eelarvepositsiooni üldsumma piires.</t>
  </si>
  <si>
    <t>Vetelpääste avalikes supelrandades</t>
  </si>
  <si>
    <t>Teeregister</t>
  </si>
  <si>
    <t>jalgrattaparklad</t>
  </si>
  <si>
    <t>Haljastute hooldus</t>
  </si>
  <si>
    <t>Haljastute hooldusremont</t>
  </si>
  <si>
    <t>Tootegrupp: kalmistud</t>
  </si>
  <si>
    <t>Tootegrupp: loomakaitse</t>
  </si>
  <si>
    <t>Tootevaldkond: muud kommunaalkulud</t>
  </si>
  <si>
    <t>Tootegrupp: spetsiifilised matuseteenused</t>
  </si>
  <si>
    <t>Keskkonnaprogrammid (ü)</t>
  </si>
  <si>
    <t>Pääsküla prügila monitooring</t>
  </si>
  <si>
    <t>lastemänguväljakute hooldus</t>
  </si>
  <si>
    <t>heakorrakuu</t>
  </si>
  <si>
    <t>grafiti eemaldamine</t>
  </si>
  <si>
    <t>Õppekava toetav loodusõpe Tallinna Botaanikaaias</t>
  </si>
  <si>
    <t>Geomaatika</t>
  </si>
  <si>
    <t>Planeeringud ja arhitektuurikonkursid</t>
  </si>
  <si>
    <t>Muinsuskaitse</t>
  </si>
  <si>
    <t>sellest toetus Eduard Vilde jutuvõistlusele Mustamäe koolides</t>
  </si>
  <si>
    <t>Saunateenuse korraldamine</t>
  </si>
  <si>
    <t>INTHERWASTE - piirkondadevaheline jäätmemajanduse keskkonda integreerimine Euroopa kultuuripärandiga linnades</t>
  </si>
  <si>
    <t>Välisrahastusega teede ja tänavate rekonstrueerimine</t>
  </si>
  <si>
    <t>Linnapiirkondade kergliiklusteede ehitamine</t>
  </si>
  <si>
    <t>MUUTUS MUUDES KOHUSTUSTES KOKKU</t>
  </si>
  <si>
    <t>Linnavolikogu</t>
  </si>
  <si>
    <t>Visioonikonverents</t>
  </si>
  <si>
    <t>Personalijuhtimine</t>
  </si>
  <si>
    <t>Finantsjuhtimine (ü)</t>
  </si>
  <si>
    <t>Liikmemaksud (a)</t>
  </si>
  <si>
    <t>Juriidilised teenused ja ühekordsed kohtuvaidlused</t>
  </si>
  <si>
    <t>Rahuliku kooselamise programm</t>
  </si>
  <si>
    <t>Omavalitsusfoorumid ja koostöö arendamine</t>
  </si>
  <si>
    <t>Kesklinna videovalve</t>
  </si>
  <si>
    <t>Endiste linnapeade toetus (a)</t>
  </si>
  <si>
    <t>Stipendiumid</t>
  </si>
  <si>
    <t>Tallinna linna Anton Uessoni stipendium (Eesti Kunstiakadeemia)</t>
  </si>
  <si>
    <t>Tootegrupp: perekonnaseisuteenused</t>
  </si>
  <si>
    <t>Tootegrupp: sporditegevuse toetamine</t>
  </si>
  <si>
    <t>Sporditegevuse toetamine (a)</t>
  </si>
  <si>
    <t>Tootegrupp: spordikoolid</t>
  </si>
  <si>
    <t>Noorte info- ja nõustamiskeskus</t>
  </si>
  <si>
    <t>Eraspordibaaside toetus</t>
  </si>
  <si>
    <t>Tallinna Spordiveteranid</t>
  </si>
  <si>
    <t>terviseliikumise programmüritused</t>
  </si>
  <si>
    <t>Tallinna meistrivõistlused</t>
  </si>
  <si>
    <t>Tallinna Maraton</t>
  </si>
  <si>
    <t>Tallinna noorsportlased</t>
  </si>
  <si>
    <t>saavutusspordi toetamine</t>
  </si>
  <si>
    <t>Tallinna spordiaasta lõpetamine</t>
  </si>
  <si>
    <t>Noorsootööprogrammid ja -projektid</t>
  </si>
  <si>
    <t>arendustegevus</t>
  </si>
  <si>
    <t>laagriprojektid</t>
  </si>
  <si>
    <t>parima noorsootöötaja preemia</t>
  </si>
  <si>
    <t>programmilised tegevused ja üritused</t>
  </si>
  <si>
    <t>toetused</t>
  </si>
  <si>
    <t>Tallinna linna noortevolikogu</t>
  </si>
  <si>
    <t>noorsootööprojektid</t>
  </si>
  <si>
    <t>noorteühingud</t>
  </si>
  <si>
    <t>Noorsportlaste terviseuuringud</t>
  </si>
  <si>
    <t>Koduteenused</t>
  </si>
  <si>
    <t>Linna üldkulud</t>
  </si>
  <si>
    <t>Linna rahahaldusega seotud finantskulud (a)</t>
  </si>
  <si>
    <t>Reservfond*, sh</t>
  </si>
  <si>
    <t>linnavalitsuse reservfond</t>
  </si>
  <si>
    <t>reservid, sh</t>
  </si>
  <si>
    <t>kohtuvaidluste ja muude õiguslike vaidlustega seotud nõuete reserv</t>
  </si>
  <si>
    <t>linna vara ja kohustustega seonduvate toimingute reserv</t>
  </si>
  <si>
    <t>oma- ja kaasfinantseerimise ja välisprojektide ettevalmistamise reserv</t>
  </si>
  <si>
    <t>* Eelarve täitmisel on linnavalitsusel õigus muuta linnavalitsuse reservfondi ja reservide jaotust ettenähtud üldsumma piires.</t>
  </si>
  <si>
    <t>Riigi ja muude institutsioonide toetuste arvelt tehtavad kulud (a; ü)</t>
  </si>
  <si>
    <t>Tallinna Kesklinna Valitsuse haldusala</t>
  </si>
  <si>
    <t>Tallinna linna infotehnoloogia stipendium (TTÜ IT Kolledž)</t>
  </si>
  <si>
    <t xml:space="preserve">  sh eelarvelaenu tagastamine/võlakirjade tagasiostmine</t>
  </si>
  <si>
    <t>pensionilisa</t>
  </si>
  <si>
    <t>E-TICKETING - Eesti ja Soome elektrooniliste piletisüsteemide ristkasutuse loomine</t>
  </si>
  <si>
    <t>Tallinna Loomaaia projekt „Pilvemets“</t>
  </si>
  <si>
    <t>projekt „Sport kooli“</t>
  </si>
  <si>
    <t>Projekt „Tallinna Haigla“</t>
  </si>
  <si>
    <t>Projekt „Koolibuss“</t>
  </si>
  <si>
    <t>Projekt „Pargi ja reisi“</t>
  </si>
  <si>
    <t>Välisrahastusega projekt „E-TICKETING - Eesti ja Soome elektrooniliste piletisüsteemide ristkasutuse loomine“ (ü)</t>
  </si>
  <si>
    <t>peale selle amortisatsioon</t>
  </si>
  <si>
    <t>ART-Fortius MTÜ (Kuldne Mask Eestis)</t>
  </si>
  <si>
    <t>noortelaagri teenus</t>
  </si>
  <si>
    <t>Säästlike ja kliimakindlate linna sademeveesüsteemide arendamine (LIFE UrbanStorm)</t>
  </si>
  <si>
    <t>Erivajadustega inimeste eluaseme füüsiline kohandamine</t>
  </si>
  <si>
    <t>HEAWATER – Läänemere valgala väikeste jõgede tervendamine toite- ning ohtlike ainete sissevoolu ärahoidmise kaudu</t>
  </si>
  <si>
    <t>CoastNet LIFE - rannikuelupaikade taastamine</t>
  </si>
  <si>
    <t>projekt „Ettevõtlusküla“</t>
  </si>
  <si>
    <t>imiku hoolduspakid (a)</t>
  </si>
  <si>
    <t>vanemlusprogrammi "Imelised aastad" koolitused</t>
  </si>
  <si>
    <t>psühholoogiline nõustamine</t>
  </si>
  <si>
    <t>ranitsad vähekindlustatud perede lastele</t>
  </si>
  <si>
    <t>transport lastelaagrisse</t>
  </si>
  <si>
    <t>muud perekonda toetavad teenused</t>
  </si>
  <si>
    <t>Lastekaitse arendustegevused võrgustikuga</t>
  </si>
  <si>
    <t>Haridus</t>
  </si>
  <si>
    <t>Tallinna Linnateatri arendusprojekt</t>
  </si>
  <si>
    <t>Linnamajandus</t>
  </si>
  <si>
    <t>Linnatransport</t>
  </si>
  <si>
    <t>Tehnovõrgud</t>
  </si>
  <si>
    <t>Heakord</t>
  </si>
  <si>
    <t>Keskkonnakaitse</t>
  </si>
  <si>
    <t>Teed ja tänavad</t>
  </si>
  <si>
    <t>Vana-Kalamaja tänava rekonstrueerimine</t>
  </si>
  <si>
    <t>Linna tugiteenused</t>
  </si>
  <si>
    <t>Puuetega inimeste hooldajate eest makstav sotsiaalmaks (a)</t>
  </si>
  <si>
    <t>Sotsiaaltöötajate tunnustamine</t>
  </si>
  <si>
    <t>Projekt "Vabaturult korterite üürimine SMÜ ja ema-laps turvakodu elanikele"</t>
  </si>
  <si>
    <t>Tervishoiutöötajate tunnustamine</t>
  </si>
  <si>
    <t>Ironman Tallinn</t>
  </si>
  <si>
    <t>Mittetulundusühing SPIN</t>
  </si>
  <si>
    <t>Piirkondlikud sündmused ja projektid</t>
  </si>
  <si>
    <t>Toetused korteriühistutele (ü), sh*</t>
  </si>
  <si>
    <t>korteriühistute koolitustoetus</t>
  </si>
  <si>
    <t>Välisrahastusega projekt „Park4SUMP“ (ü)</t>
  </si>
  <si>
    <t>Supergraafilised seinapildid korterelamutele (ü)</t>
  </si>
  <si>
    <t>Välisrahastusega projekt „Säästlike ja kliimakindlate linna sademeveesüsteemide arendamine (LIFE UrbanStorm)“ (ü)</t>
  </si>
  <si>
    <t>Välisrahastusega projekt HEAWATER – Läänemere valgala väikeste jõgede tervendamine toite- ning ohtlike ainete sissevoolu ärahoidmise kaudu“ (ü)</t>
  </si>
  <si>
    <t>Välisrahastusega projekt "CoastNet LIFE – rannikuelupaikade taastamine“ (ü)</t>
  </si>
  <si>
    <t>Shiftworks OÜ (Tallinn Music Week)</t>
  </si>
  <si>
    <t>ülelinnalised üritused</t>
  </si>
  <si>
    <t>Eesti Juristide Liit Õigusapteekide korraldamiseks linnaosades</t>
  </si>
  <si>
    <t>Sotsiaalteenuste arendamise ja täiendavate sotsiaaltoetuste maksmise toetus</t>
  </si>
  <si>
    <t>liiniveo infosüsteemid</t>
  </si>
  <si>
    <t>Ühistranspordi infrastruktuuri haldamine*</t>
  </si>
  <si>
    <t>Linna asutuste ja linnakeskkonna turvalisuse tõstmine</t>
  </si>
  <si>
    <t>koolituste korraldamine</t>
  </si>
  <si>
    <t>TULUD KOKKU</t>
  </si>
  <si>
    <t>KULUD KOKKU</t>
  </si>
  <si>
    <t>KVN festival</t>
  </si>
  <si>
    <t>sellest asumifestival KopliFest</t>
  </si>
  <si>
    <t>Kaasava hariduse põhimõtete rakendamise toetamine Tallinna koolides</t>
  </si>
  <si>
    <t>Keskkonna- ja Kommunaalameti haldusala</t>
  </si>
  <si>
    <t>Tallinna Kesklinna Valitsus</t>
  </si>
  <si>
    <t>sh Filtri teed Kadrioruga ja Ülemiste ühisterminaliga ühendav kergliiklustee</t>
  </si>
  <si>
    <t>LUCIA - säästlike ja tarkade valgustuslahenduste rakendamise edendamine</t>
  </si>
  <si>
    <t>tugimeetmed NEET (youth neither in employment nor in education or training) noortele</t>
  </si>
  <si>
    <t>tulu parkimisest asutuse territooriumil</t>
  </si>
  <si>
    <t>koolitus</t>
  </si>
  <si>
    <t xml:space="preserve">teenused </t>
  </si>
  <si>
    <t>koolitusteenus</t>
  </si>
  <si>
    <t xml:space="preserve">kauba müük </t>
  </si>
  <si>
    <t>muud rahva-ja kultuurimaja tasulised teenused</t>
  </si>
  <si>
    <t>20.1. Pirita Linnaosa Valitsus</t>
  </si>
  <si>
    <t>Kasum / kahjum kauba müügist</t>
  </si>
  <si>
    <t>MUUTUSED NÕUETES</t>
  </si>
  <si>
    <t>MUUTUS LAENUNÕUETES KOKKU</t>
  </si>
  <si>
    <t>MUUTUS MUUDES NÕUETES KOKKU</t>
  </si>
  <si>
    <t>Laenunõude vähenemine</t>
  </si>
  <si>
    <t>muud ettevõtlusalased projektid</t>
  </si>
  <si>
    <t>linnale kuuluvate kinnistute hooldamine</t>
  </si>
  <si>
    <t>tegevustoetus elamumajanduse MTÜdele</t>
  </si>
  <si>
    <t>Projekt „Korteriühistute kompetentsikeskus“</t>
  </si>
  <si>
    <t>sh liikluskorraldusvahendid</t>
  </si>
  <si>
    <t>teekattemärgistus</t>
  </si>
  <si>
    <t>Teerajatiste puhastamine (a)</t>
  </si>
  <si>
    <t>sellest Kadrioru Park</t>
  </si>
  <si>
    <t>Keskkonna- ja Kommunaalamet</t>
  </si>
  <si>
    <t>Linnapõllumajandus (ü)</t>
  </si>
  <si>
    <t>Muud heakorrakulud*</t>
  </si>
  <si>
    <t>ajutised välikäimlad</t>
  </si>
  <si>
    <t>Harju tänava, Mustamäe ja Nõmme teisaldatavad jääväljakud</t>
  </si>
  <si>
    <t>Välisrahastusega projekt „Ökosaared - Urban Eco Islands" (ü)</t>
  </si>
  <si>
    <t>kiusamise ennetus- ja sekkumisprogrammide rakendamine haridusasutustes</t>
  </si>
  <si>
    <t>Kirjandustänava festival</t>
  </si>
  <si>
    <t>Märtsiküüditamise aastapäev</t>
  </si>
  <si>
    <t>Rahvusvaheline Rahvuskultuuride Ühenduste Liit Lüüra</t>
  </si>
  <si>
    <t>sellest Tallinna Grand Prix ja publikupreemia</t>
  </si>
  <si>
    <t>laste- ja noortefilmide festival Just Film</t>
  </si>
  <si>
    <t xml:space="preserve">arendustegevused </t>
  </si>
  <si>
    <t>ürituste korraldamiseks</t>
  </si>
  <si>
    <t>Siseaudit</t>
  </si>
  <si>
    <t>Linnaosades turvalisuse tagamise kulude reserv</t>
  </si>
  <si>
    <t>Laenude andmine</t>
  </si>
  <si>
    <t>MUUTUS RAHAS</t>
  </si>
  <si>
    <t>Hoiuste muutus</t>
  </si>
  <si>
    <t>MUUTUS FINANTSVARADES KOKKU</t>
  </si>
  <si>
    <t>sellest talvevalgustus</t>
  </si>
  <si>
    <t>Laenude andmine (-)</t>
  </si>
  <si>
    <t>Laenude tagasimaksed (+)</t>
  </si>
  <si>
    <t>koolieelsete lasteasutuste õpetajate tööjõukulude toetus</t>
  </si>
  <si>
    <t>huvihariduse ja -tegevuse toetus</t>
  </si>
  <si>
    <t>kaasava hariduse põhimõtete rakendamise toetamine Tallinna koolides</t>
  </si>
  <si>
    <t>rahvastikutoimingute kulude hüvitis</t>
  </si>
  <si>
    <t>sellest üldhariduskoolide pidamiseks antav toetus</t>
  </si>
  <si>
    <t>toetus rahvastikuregistri andmete töötlemiseks</t>
  </si>
  <si>
    <t>Välisrahastusega projekt „StratKIT - avaliku toitlustamise innovaatilised strateegiad“ (ü)</t>
  </si>
  <si>
    <t>toetused abiorganisatsioonidele</t>
  </si>
  <si>
    <t>Erakorraliste lumeolude ja teede erakorralise puhastuse reserv</t>
  </si>
  <si>
    <t>6.3. Tallinna Linnamuuseum</t>
  </si>
  <si>
    <t>6.4. Tallinna Kirjanduskeskus</t>
  </si>
  <si>
    <t>6.5. Tallinna Linnateater</t>
  </si>
  <si>
    <t>6.6. Tallinna Filharmoonia</t>
  </si>
  <si>
    <t>6.7. Tallinna Rahvaülikool</t>
  </si>
  <si>
    <t>6.8. Vene Kultuurikeskus</t>
  </si>
  <si>
    <t>Tallinna esindusvõistkonnad</t>
  </si>
  <si>
    <t>Kohutuste suurenemine</t>
  </si>
  <si>
    <t>Kohustuste vähenemine</t>
  </si>
  <si>
    <t>Nõuete suurenemine</t>
  </si>
  <si>
    <t>Nõuete vähenemine</t>
  </si>
  <si>
    <t>alaliitude toetamine</t>
  </si>
  <si>
    <t xml:space="preserve">sellest Tallinna Spordiselts Kalev </t>
  </si>
  <si>
    <t>Positiivse programmi arendamine (kaasav eelarve)</t>
  </si>
  <si>
    <t>Park4SUMP</t>
  </si>
  <si>
    <t>Õigusaktide infosüsteemi Teele juurutamise projekt (ü)</t>
  </si>
  <si>
    <t>Välisrahastusega projekt „INTHERWASTE - piirkondadevaheline jäätmemajanduse keskkonda integreerimine Euroopa kultuuripärandiga linnades“ (ü)</t>
  </si>
  <si>
    <t xml:space="preserve">        antud laenude tagasimaksed</t>
  </si>
  <si>
    <t xml:space="preserve">      kontsessioonilepingute põhiosa maksed</t>
  </si>
  <si>
    <t>Toetus Sihtasutusele Tallinna Tehnika- ja Teaduskeskus</t>
  </si>
  <si>
    <t>Toetus Sihtasutusele Tallinna Vene Lütseum</t>
  </si>
  <si>
    <t>sellest Mittetulundusühingule Pimedate Ööde Filmifestival</t>
  </si>
  <si>
    <t>Sihtasutus ORTHODOX SINGERS</t>
  </si>
  <si>
    <t>Toetus mittetulundusühingule AIDSi Tugikeskus uimastiennetustegevuseks</t>
  </si>
  <si>
    <t>Tegevustoetus Mittetulundusühingule Lootuse Küla</t>
  </si>
  <si>
    <t>Toetus Tallinna Linnahalli Aktsiaseltsile</t>
  </si>
  <si>
    <t>Toetus Sihtasutusele Tallinna Ettevõtlusinkubaatorid</t>
  </si>
  <si>
    <t>Välisrahastusega projekt „HUPMOBILE - terviklik linna ja linnalähedane liikuvus“ (ü)</t>
  </si>
  <si>
    <t>HUPMOBILE - terviklik linna ja linnalähedane liikuvus</t>
  </si>
  <si>
    <t>Toetus Sihtasutusele Tallinna Lauluväljak</t>
  </si>
  <si>
    <t>Uimastiennetustegevus Sihtasutuses Tallinna Lastehaigla</t>
  </si>
  <si>
    <t>jaotamata</t>
  </si>
  <si>
    <t>sh tegevuskuludeks</t>
  </si>
  <si>
    <t>Teisel ringil targaks 3 (Tallinna Täiskasvanute Gümnaasium)</t>
  </si>
  <si>
    <t>TERITA III (Tallinna Vanalinna Täiskasvanute Gümnaasium)</t>
  </si>
  <si>
    <t>AI4Cities – linnade üleminek süsinikuneutraalsusele tehisintellekti abil</t>
  </si>
  <si>
    <t>CENTRINNO - Vanade tööstusalade muutmine uuteks loovklastriteks ja kogukonnakeskusteks</t>
  </si>
  <si>
    <t>Rohelinnad - GoGreenRoutes</t>
  </si>
  <si>
    <t>Kultuuri kättesaadavus kõikidele linnakodanikele - ACCESS</t>
  </si>
  <si>
    <t>UserCentriCities (UCC) - Kasutajakeskne teenusedisain linnades</t>
  </si>
  <si>
    <t>StratKIT - avaliku toitlustamise innovaatilised strateegiad</t>
  </si>
  <si>
    <t>Abiks hoolduskoormusega inimestele</t>
  </si>
  <si>
    <t>Alaealiste erikohtlemise süsteemi loomine</t>
  </si>
  <si>
    <t>Integreeritud koduhooldusteenused eakatele</t>
  </si>
  <si>
    <r>
      <t>Klubimaja mudeli riikliku teenuse väljatöötamine Eestis</t>
    </r>
    <r>
      <rPr>
        <sz val="8"/>
        <rFont val="Arial"/>
        <family val="2"/>
        <charset val="186"/>
      </rPr>
      <t xml:space="preserve"> (Tallinna Vaimse Tervise Keskus)</t>
    </r>
  </si>
  <si>
    <t>CitySCAPE - linnasisene küberturvaline multimodaalne transpordi ökosüsteem</t>
  </si>
  <si>
    <t>SOHJOA Last Miles</t>
  </si>
  <si>
    <t>SUMBA+</t>
  </si>
  <si>
    <t>Roheline kiirtee - innovaatiline rohetaristu planeerimine (B.Green)</t>
  </si>
  <si>
    <t>Rävala puiestee ühistranspordi läbimurre</t>
  </si>
  <si>
    <t>Põhitänavate välisvalgustuse rekonstrueerimise II etapp</t>
  </si>
  <si>
    <t>isikukeskne erihoolekandeteenus</t>
  </si>
  <si>
    <t>tööpraktika juhendamine</t>
  </si>
  <si>
    <t>tulu üldhooldusteenuse õendusteenusest (leping Haigekassaga)</t>
  </si>
  <si>
    <t>sotsiaalmajutusüksuste kohatasu</t>
  </si>
  <si>
    <t>äriruumide haldamise tulu</t>
  </si>
  <si>
    <t>välisprojektide kaasfinantseerimine</t>
  </si>
  <si>
    <t>Välisprojektide kaasfinantseerimine</t>
  </si>
  <si>
    <t>Noorsootöö</t>
  </si>
  <si>
    <t>Isikukeskne erihoolekandeteenus</t>
  </si>
  <si>
    <t>Koduteenuse klientide poekaupade kullerteenus</t>
  </si>
  <si>
    <t>sh Sotsiaal- ja Tervishoiuamet</t>
  </si>
  <si>
    <t>Tallinna Tugikeskus Juks</t>
  </si>
  <si>
    <t>Käo Tugikeskus</t>
  </si>
  <si>
    <t>Iru Hooldekodu</t>
  </si>
  <si>
    <r>
      <t>Perekeskuse teenused</t>
    </r>
    <r>
      <rPr>
        <sz val="8"/>
        <rFont val="Arial"/>
        <family val="2"/>
        <charset val="186"/>
      </rPr>
      <t xml:space="preserve"> (Tallinna Perekeskus)</t>
    </r>
  </si>
  <si>
    <r>
      <t>Perekonda toetavad teenused,</t>
    </r>
    <r>
      <rPr>
        <i/>
        <sz val="10"/>
        <rFont val="Arial"/>
        <family val="2"/>
        <charset val="186"/>
      </rPr>
      <t xml:space="preserve"> sh:</t>
    </r>
  </si>
  <si>
    <r>
      <t xml:space="preserve">Raske ja sügava puudega laste tugiisikuteenus </t>
    </r>
    <r>
      <rPr>
        <sz val="8"/>
        <rFont val="Arial"/>
        <family val="2"/>
        <charset val="186"/>
      </rPr>
      <t>(Tallinna Perekeskus)</t>
    </r>
  </si>
  <si>
    <r>
      <t xml:space="preserve">Laste ja emad lastega turvakoduteenused </t>
    </r>
    <r>
      <rPr>
        <sz val="8"/>
        <rFont val="Arial"/>
        <family val="2"/>
        <charset val="186"/>
      </rPr>
      <t>(Tallinna Lastekodu, Tallinna Laste Turvakeskus)</t>
    </r>
  </si>
  <si>
    <r>
      <t>Käitumishäiretega laste rehabilitatsiooniteenus</t>
    </r>
    <r>
      <rPr>
        <sz val="8"/>
        <rFont val="Arial"/>
        <family val="2"/>
        <charset val="186"/>
      </rPr>
      <t xml:space="preserve"> (Tallinna Laste Turvakeskus)</t>
    </r>
  </si>
  <si>
    <r>
      <t>Asendushooldusteenus</t>
    </r>
    <r>
      <rPr>
        <sz val="8"/>
        <rFont val="Arial"/>
        <family val="2"/>
        <charset val="186"/>
      </rPr>
      <t xml:space="preserve"> (Tallinna Lastekodu)</t>
    </r>
  </si>
  <si>
    <r>
      <t>Sotsiaalmajutusüksused</t>
    </r>
    <r>
      <rPr>
        <sz val="8"/>
        <rFont val="Arial"/>
        <family val="2"/>
        <charset val="186"/>
      </rPr>
      <t xml:space="preserve"> (Tallinna Sotsiaaltöö Keskus)</t>
    </r>
  </si>
  <si>
    <r>
      <t xml:space="preserve">Muud sotsiaaltoetused, </t>
    </r>
    <r>
      <rPr>
        <i/>
        <u/>
        <sz val="10"/>
        <rFont val="Arial"/>
        <family val="2"/>
        <charset val="186"/>
      </rPr>
      <t>sh</t>
    </r>
  </si>
  <si>
    <r>
      <t>sh</t>
    </r>
    <r>
      <rPr>
        <sz val="8"/>
        <rFont val="Arial"/>
        <family val="2"/>
        <charset val="186"/>
      </rPr>
      <t xml:space="preserve"> toetus (a)</t>
    </r>
  </si>
  <si>
    <r>
      <t xml:space="preserve">sh </t>
    </r>
    <r>
      <rPr>
        <sz val="8"/>
        <rFont val="Arial"/>
        <family val="2"/>
        <charset val="186"/>
      </rPr>
      <t>Tallinna Noorteklubi KODULINN</t>
    </r>
  </si>
  <si>
    <t>Sotsiaalvaldkonna töötajate palgatõus</t>
  </si>
  <si>
    <r>
      <t>sh</t>
    </r>
    <r>
      <rPr>
        <sz val="8"/>
        <rFont val="Arial"/>
        <family val="2"/>
        <charset val="186"/>
      </rPr>
      <t xml:space="preserve"> projektid ja programmid</t>
    </r>
  </si>
  <si>
    <t>Arsti koduvisiidid</t>
  </si>
  <si>
    <r>
      <t>Korraldatud jäätmevedu</t>
    </r>
    <r>
      <rPr>
        <sz val="8"/>
        <rFont val="Arial"/>
        <family val="2"/>
        <charset val="186"/>
      </rPr>
      <t xml:space="preserve"> (Tallinna Jäätmekeskus) </t>
    </r>
  </si>
  <si>
    <t>väikeettevõtja digilahenduste toetus</t>
  </si>
  <si>
    <r>
      <t xml:space="preserve">Ettevõtluse ja turismiga seotud mittetulundustegevuse toetamine, </t>
    </r>
    <r>
      <rPr>
        <i/>
        <u/>
        <sz val="10"/>
        <rFont val="Arial"/>
        <family val="2"/>
        <charset val="186"/>
      </rPr>
      <t>sh:</t>
    </r>
  </si>
  <si>
    <t>Tallinna Giidide Ühing</t>
  </si>
  <si>
    <r>
      <t xml:space="preserve">sh </t>
    </r>
    <r>
      <rPr>
        <sz val="8"/>
        <rFont val="Arial"/>
        <family val="2"/>
        <charset val="186"/>
      </rPr>
      <t>Tallinna linna Raestipendium (ülikoolid ja rakenduskõrgkoolid)</t>
    </r>
  </si>
  <si>
    <t>Välisrahastusega projekt "AI4Cities – linnade üleminek süsinikuneutraalsusele tehisintellekti abil“ (ü)</t>
  </si>
  <si>
    <r>
      <t xml:space="preserve">Välisrahastusega projekt </t>
    </r>
    <r>
      <rPr>
        <b/>
        <u/>
        <sz val="10"/>
        <rFont val="Arial"/>
        <family val="2"/>
        <charset val="186"/>
      </rPr>
      <t>"</t>
    </r>
    <r>
      <rPr>
        <u/>
        <sz val="10"/>
        <rFont val="Arial"/>
        <family val="2"/>
        <charset val="186"/>
      </rPr>
      <t>CENTRINNO - Vanade tööstusalade muutmine uuteks loovklastriteks ja kogukonnakeskusteks“ (ü)</t>
    </r>
  </si>
  <si>
    <t>Välisrahastusega projekt "Kultuuri kättesaadavus kõikidele linnakodanikele - ACCESS" (ü)</t>
  </si>
  <si>
    <t>Välisrahastusega projekt "UserCentriCities (UCC) - Kasutajakeskne teenusedisain linnades" (ü)</t>
  </si>
  <si>
    <t>Valimised</t>
  </si>
  <si>
    <t>toetused välisrahastusega projektide kaasfinantseerimiseks</t>
  </si>
  <si>
    <t>toetused riigilt ja muudelt institutsioonidelt arvelt</t>
  </si>
  <si>
    <t>Välisrahastusega projekt "Kaasava hariduse põhimõtete rakendamise toetamine Tallinna koolides" (ü)</t>
  </si>
  <si>
    <t>Välisrahastusega projekt „Teisel ringil targaks 3 (Tallinna Täiskasvanute Gümnaasium“ (ü)</t>
  </si>
  <si>
    <t>Välisrahastusega projekt „TERITA III (Tallinna Vanalinna Täiskasvanute Gümnaasium)“ (ü)</t>
  </si>
  <si>
    <r>
      <t>Tootegrupp: raamatukogud</t>
    </r>
    <r>
      <rPr>
        <sz val="8"/>
        <rFont val="Arial"/>
        <family val="2"/>
        <charset val="186"/>
      </rPr>
      <t xml:space="preserve"> (Tallinna Keskraamatukogu)</t>
    </r>
  </si>
  <si>
    <r>
      <t>Tootegrupp: kultuuritegevus</t>
    </r>
    <r>
      <rPr>
        <sz val="8"/>
        <rFont val="Arial"/>
        <family val="2"/>
        <charset val="186"/>
      </rPr>
      <t xml:space="preserve"> (Vene Kultuurikeskus)</t>
    </r>
  </si>
  <si>
    <r>
      <t>Tootegrupp: muuseumid</t>
    </r>
    <r>
      <rPr>
        <sz val="8"/>
        <rFont val="Arial"/>
        <family val="2"/>
        <charset val="186"/>
      </rPr>
      <t xml:space="preserve"> (Tallinna Linnamuuseum)</t>
    </r>
  </si>
  <si>
    <r>
      <t>Tootegrupp: kirjanduskeskus</t>
    </r>
    <r>
      <rPr>
        <sz val="8"/>
        <rFont val="Arial"/>
        <family val="2"/>
        <charset val="186"/>
      </rPr>
      <t xml:space="preserve"> (Tallinna Kirjanduskeskus)</t>
    </r>
  </si>
  <si>
    <r>
      <t>Tootegrupp: teater</t>
    </r>
    <r>
      <rPr>
        <sz val="8"/>
        <rFont val="Arial"/>
        <family val="2"/>
        <charset val="186"/>
      </rPr>
      <t xml:space="preserve"> (Tallinna Linnateater)</t>
    </r>
  </si>
  <si>
    <r>
      <t>Tootegrupp: kontsertteenus</t>
    </r>
    <r>
      <rPr>
        <sz val="8"/>
        <rFont val="Arial"/>
        <family val="2"/>
        <charset val="186"/>
      </rPr>
      <t xml:space="preserve"> (Tallinna Filharmoonia)</t>
    </r>
  </si>
  <si>
    <r>
      <t>Tootegrupp: koolitusteenus</t>
    </r>
    <r>
      <rPr>
        <sz val="8"/>
        <rFont val="Arial"/>
        <family val="2"/>
        <charset val="186"/>
      </rPr>
      <t xml:space="preserve"> (Tallinna Rahvaülikool)</t>
    </r>
  </si>
  <si>
    <t>The Tall Ships Races 2021 (ü)</t>
  </si>
  <si>
    <t>sellest purjeõppe toetamine</t>
  </si>
  <si>
    <t>toetus Eesti Noorte Purjeõppeseltsile "STA Estonia"</t>
  </si>
  <si>
    <r>
      <t>Spordihallid ja -väljakud</t>
    </r>
    <r>
      <rPr>
        <sz val="8"/>
        <rFont val="Arial"/>
        <family val="2"/>
        <charset val="186"/>
      </rPr>
      <t xml:space="preserve"> (Tallinna Spordihall)</t>
    </r>
  </si>
  <si>
    <r>
      <t>Spordihooned ja -rajatised</t>
    </r>
    <r>
      <rPr>
        <sz val="8"/>
        <rFont val="Arial"/>
        <family val="2"/>
        <charset val="186"/>
      </rPr>
      <t xml:space="preserve"> (Pirita Spordikeskus, Tondiraba Spordikeskus, Kristiine Sport, Nõmme Spordikeskus, Tallinna Spordihall)</t>
    </r>
  </si>
  <si>
    <r>
      <t>Ujulad</t>
    </r>
    <r>
      <rPr>
        <sz val="8"/>
        <rFont val="Arial"/>
        <family val="2"/>
        <charset val="186"/>
      </rPr>
      <t xml:space="preserve"> (Tallinna Spordihall, Kristiine Sport)</t>
    </r>
  </si>
  <si>
    <r>
      <t>Spordikoolid (</t>
    </r>
    <r>
      <rPr>
        <sz val="8"/>
        <rFont val="Arial"/>
        <family val="2"/>
        <charset val="186"/>
      </rPr>
      <t>Tallinna Spordikool</t>
    </r>
    <r>
      <rPr>
        <sz val="10"/>
        <rFont val="Arial"/>
        <family val="2"/>
        <charset val="186"/>
      </rPr>
      <t>)</t>
    </r>
  </si>
  <si>
    <r>
      <t>sh</t>
    </r>
    <r>
      <rPr>
        <sz val="8"/>
        <rFont val="Arial"/>
        <family val="2"/>
        <charset val="186"/>
      </rPr>
      <t xml:space="preserve"> jäähallid</t>
    </r>
  </si>
  <si>
    <r>
      <t xml:space="preserve">sh </t>
    </r>
    <r>
      <rPr>
        <sz val="8"/>
        <rFont val="Arial"/>
        <family val="2"/>
        <charset val="186"/>
      </rPr>
      <t>rahvusvahelised spordiüritused*</t>
    </r>
  </si>
  <si>
    <t>muud spordiprojektid*</t>
  </si>
  <si>
    <r>
      <rPr>
        <i/>
        <sz val="8"/>
        <rFont val="Arial"/>
        <family val="2"/>
        <charset val="186"/>
      </rPr>
      <t>sh</t>
    </r>
    <r>
      <rPr>
        <sz val="8"/>
        <rFont val="Arial"/>
        <family val="2"/>
        <charset val="186"/>
      </rPr>
      <t xml:space="preserve"> Sihtasutus Õpilasmalev</t>
    </r>
  </si>
  <si>
    <t>Välisrahastusega projekt „Alaealiste erikohtlemise süsteemi loomine“ (ü)</t>
  </si>
  <si>
    <t>Välisrahastusega projekt „Integreeritud koduhooldusteenused eakatele“ (ü)</t>
  </si>
  <si>
    <t>Välisrahastusega projekt „Klubimaja mudeli riikliku teenuse väljatöötamine Eestis“</t>
  </si>
  <si>
    <r>
      <t>Üldhooldusteenuse õendusteenus (</t>
    </r>
    <r>
      <rPr>
        <u/>
        <sz val="8"/>
        <rFont val="Arial"/>
        <family val="2"/>
        <charset val="186"/>
      </rPr>
      <t>Iru Hooldekodu)</t>
    </r>
  </si>
  <si>
    <t>Mittetulundusühing Tallinn Restaurant Week</t>
  </si>
  <si>
    <t>Mittetulundusühing Eesti Konverentsibüroo</t>
  </si>
  <si>
    <t>Eesti Rahvakunsti ja Käsitöö Liit</t>
  </si>
  <si>
    <r>
      <t>Linnavaraamet</t>
    </r>
    <r>
      <rPr>
        <b/>
        <sz val="12"/>
        <color theme="0"/>
        <rFont val="Arial"/>
        <family val="2"/>
        <charset val="186"/>
      </rPr>
      <t>_</t>
    </r>
  </si>
  <si>
    <r>
      <t>Linnavaraamet</t>
    </r>
    <r>
      <rPr>
        <u/>
        <sz val="10"/>
        <color theme="0"/>
        <rFont val="Arial"/>
        <family val="2"/>
        <charset val="186"/>
      </rPr>
      <t>__</t>
    </r>
  </si>
  <si>
    <r>
      <t xml:space="preserve">sh </t>
    </r>
    <r>
      <rPr>
        <sz val="8"/>
        <rFont val="Arial"/>
        <family val="2"/>
        <charset val="186"/>
      </rPr>
      <t>eluruumide haldamine</t>
    </r>
  </si>
  <si>
    <r>
      <t xml:space="preserve">sh </t>
    </r>
    <r>
      <rPr>
        <sz val="8"/>
        <rFont val="Arial"/>
        <family val="2"/>
        <charset val="186"/>
      </rPr>
      <t>Viru keskuse autobussiterminal</t>
    </r>
  </si>
  <si>
    <r>
      <t xml:space="preserve">sh </t>
    </r>
    <r>
      <rPr>
        <sz val="8"/>
        <rFont val="Arial"/>
        <family val="2"/>
        <charset val="186"/>
      </rPr>
      <t>liinivedu laevaga</t>
    </r>
  </si>
  <si>
    <r>
      <t xml:space="preserve">sh </t>
    </r>
    <r>
      <rPr>
        <sz val="8"/>
        <rFont val="Arial"/>
        <family val="2"/>
        <charset val="186"/>
      </rPr>
      <t>liikluskorralduse uuringud</t>
    </r>
  </si>
  <si>
    <t>Välisrahastusega projekt „SOHJOA Last Miles" (ü)</t>
  </si>
  <si>
    <t>Välisrahastusega projekt „SUMBA+" (ü)</t>
  </si>
  <si>
    <r>
      <t>Tootegrupp: loomaaed</t>
    </r>
    <r>
      <rPr>
        <sz val="8"/>
        <rFont val="Arial"/>
        <family val="2"/>
        <charset val="186"/>
      </rPr>
      <t xml:space="preserve"> (Tallinna Loomaaed)</t>
    </r>
  </si>
  <si>
    <r>
      <t>Tootegrupp: botaanikaaed</t>
    </r>
    <r>
      <rPr>
        <sz val="8"/>
        <rFont val="Arial"/>
        <family val="2"/>
        <charset val="186"/>
      </rPr>
      <t xml:space="preserve"> (Tallinna Botaanikaaed)</t>
    </r>
  </si>
  <si>
    <r>
      <t xml:space="preserve">sh </t>
    </r>
    <r>
      <rPr>
        <sz val="8"/>
        <rFont val="Arial"/>
        <family val="2"/>
        <charset val="186"/>
      </rPr>
      <t>sademevee puhastus (a)</t>
    </r>
  </si>
  <si>
    <r>
      <t>Valgusfestivali korraldamine</t>
    </r>
    <r>
      <rPr>
        <sz val="8"/>
        <rFont val="Arial"/>
        <family val="2"/>
        <charset val="186"/>
      </rPr>
      <t xml:space="preserve"> (Kadrioru Park)</t>
    </r>
  </si>
  <si>
    <r>
      <t>sellest</t>
    </r>
    <r>
      <rPr>
        <sz val="8"/>
        <rFont val="Arial"/>
        <family val="2"/>
        <charset val="186"/>
      </rPr>
      <t xml:space="preserve"> koerte jalutusväljakute ja ujutamiskohtade hooldus</t>
    </r>
  </si>
  <si>
    <t>Välisrahastusega projekt "Roheline kiirtee - innovaatiline rohetaristu planeerimine (B.Green)" (ü)</t>
  </si>
  <si>
    <r>
      <t>Tootegrupp: kultuuritegevus</t>
    </r>
    <r>
      <rPr>
        <sz val="8"/>
        <rFont val="Arial"/>
        <family val="2"/>
        <charset val="186"/>
      </rPr>
      <t xml:space="preserve"> (Haabersti Vaba Aja Keskus)</t>
    </r>
  </si>
  <si>
    <r>
      <t xml:space="preserve">Noortekeskus </t>
    </r>
    <r>
      <rPr>
        <sz val="8"/>
        <rFont val="Arial"/>
        <family val="2"/>
        <charset val="186"/>
      </rPr>
      <t>(Haabersti Vaba Aja Keskus)</t>
    </r>
  </si>
  <si>
    <r>
      <t>Päevakeskuse teenused</t>
    </r>
    <r>
      <rPr>
        <sz val="8"/>
        <rFont val="Arial"/>
        <family val="2"/>
        <charset val="186"/>
      </rPr>
      <t xml:space="preserve"> (Haabersti Päevakeskus)</t>
    </r>
  </si>
  <si>
    <r>
      <t xml:space="preserve">Koduteenused </t>
    </r>
    <r>
      <rPr>
        <sz val="8"/>
        <rFont val="Arial"/>
        <family val="2"/>
        <charset val="186"/>
      </rPr>
      <t>(Haabersti Päevakeskus)</t>
    </r>
  </si>
  <si>
    <r>
      <t>Tootegrupp: kultuuritegevus</t>
    </r>
    <r>
      <rPr>
        <sz val="8"/>
        <rFont val="Arial"/>
        <family val="2"/>
        <charset val="186"/>
      </rPr>
      <t xml:space="preserve"> (Kesklinna Vaba Aja Keskus)</t>
    </r>
  </si>
  <si>
    <r>
      <t>Noortekeskus</t>
    </r>
    <r>
      <rPr>
        <sz val="8"/>
        <rFont val="Arial"/>
        <family val="2"/>
        <charset val="186"/>
      </rPr>
      <t xml:space="preserve"> (Kesklinna Vaba Aja Keskus)</t>
    </r>
  </si>
  <si>
    <r>
      <t>Päevakeskuse teenused</t>
    </r>
    <r>
      <rPr>
        <sz val="8"/>
        <rFont val="Arial"/>
        <family val="2"/>
        <charset val="186"/>
      </rPr>
      <t xml:space="preserve"> (Tallinna Kesklinna Sotsiaalkeskus)</t>
    </r>
  </si>
  <si>
    <r>
      <t>Koduteenused</t>
    </r>
    <r>
      <rPr>
        <sz val="8"/>
        <rFont val="Arial"/>
        <family val="2"/>
        <charset val="186"/>
      </rPr>
      <t xml:space="preserve"> (Tallinna Kesklinna Sotsiaalkeskus)</t>
    </r>
  </si>
  <si>
    <r>
      <t>Saunateenuse korraldamine</t>
    </r>
    <r>
      <rPr>
        <sz val="8"/>
        <rFont val="Arial"/>
        <family val="2"/>
        <charset val="186"/>
      </rPr>
      <t xml:space="preserve"> (Raua Saun)</t>
    </r>
  </si>
  <si>
    <t xml:space="preserve"> Aegna saare loodusmaja haldamine</t>
  </si>
  <si>
    <t>Välisrahastusega projekt „Kesklinna uussisserändajate projekt - The project of immigrants of Tallinn City Center" (ü)</t>
  </si>
  <si>
    <t>välisrahastuse kaasfinantseerimise arvelt</t>
  </si>
  <si>
    <r>
      <t>Noortekeskus</t>
    </r>
    <r>
      <rPr>
        <sz val="8"/>
        <rFont val="Arial"/>
        <family val="2"/>
        <charset val="186"/>
      </rPr>
      <t xml:space="preserve"> (Kristiine Tegevuskeskus)</t>
    </r>
  </si>
  <si>
    <r>
      <t>Päevakeskuse teenused</t>
    </r>
    <r>
      <rPr>
        <sz val="8"/>
        <rFont val="Arial"/>
        <family val="2"/>
        <charset val="186"/>
      </rPr>
      <t xml:space="preserve"> (Kristiine Tegevuskeskus)</t>
    </r>
  </si>
  <si>
    <r>
      <t>Koduteenused</t>
    </r>
    <r>
      <rPr>
        <sz val="8"/>
        <rFont val="Arial"/>
        <family val="2"/>
        <charset val="186"/>
      </rPr>
      <t xml:space="preserve"> (Kristiine Tegevuskeskus)</t>
    </r>
  </si>
  <si>
    <r>
      <t>Tootegrupp: kultuuritegevus</t>
    </r>
    <r>
      <rPr>
        <sz val="8"/>
        <rFont val="Arial"/>
        <family val="2"/>
        <charset val="186"/>
      </rPr>
      <t xml:space="preserve"> (Kultuurikeskus Lindakivi)</t>
    </r>
  </si>
  <si>
    <r>
      <t>Noortekeskus</t>
    </r>
    <r>
      <rPr>
        <sz val="8"/>
        <rFont val="Arial"/>
        <family val="2"/>
        <charset val="186"/>
      </rPr>
      <t xml:space="preserve"> (Lasnamäe Noortekeskus)</t>
    </r>
  </si>
  <si>
    <r>
      <t>Spordihooned ja -rajatised</t>
    </r>
    <r>
      <rPr>
        <sz val="8"/>
        <rFont val="Arial"/>
        <family val="2"/>
        <charset val="186"/>
      </rPr>
      <t xml:space="preserve"> (Lasnamäe Spordikompleks)</t>
    </r>
  </si>
  <si>
    <r>
      <t>Laste päevakeskuse teenused</t>
    </r>
    <r>
      <rPr>
        <sz val="8"/>
        <rFont val="Arial"/>
        <family val="2"/>
        <charset val="186"/>
      </rPr>
      <t xml:space="preserve"> (Lasnamäe Lastekeskus)</t>
    </r>
  </si>
  <si>
    <r>
      <t>Päevakeskuse teenused</t>
    </r>
    <r>
      <rPr>
        <sz val="8"/>
        <rFont val="Arial"/>
        <family val="2"/>
        <charset val="186"/>
      </rPr>
      <t xml:space="preserve"> (Lasnamäe Sotsiaalkeskus)</t>
    </r>
  </si>
  <si>
    <r>
      <t>Koduteenused</t>
    </r>
    <r>
      <rPr>
        <sz val="8"/>
        <rFont val="Arial"/>
        <family val="2"/>
        <charset val="186"/>
      </rPr>
      <t xml:space="preserve"> (Lasnamäe Sotsiaalkeskus)</t>
    </r>
  </si>
  <si>
    <t>sellest Raadiku Noortestaap</t>
  </si>
  <si>
    <t>muud sündmused ja projektid</t>
  </si>
  <si>
    <r>
      <t>Saunateenuse korraldamine</t>
    </r>
    <r>
      <rPr>
        <sz val="8"/>
        <rFont val="Arial"/>
        <family val="2"/>
        <charset val="186"/>
      </rPr>
      <t xml:space="preserve"> (Lasnamäe Saun)</t>
    </r>
  </si>
  <si>
    <r>
      <t>Tootegrupp: kultuuritegevus</t>
    </r>
    <r>
      <rPr>
        <sz val="8"/>
        <rFont val="Arial"/>
        <family val="2"/>
        <charset val="186"/>
      </rPr>
      <t xml:space="preserve"> (Mustamäe Kultuurikeskus Kaja)</t>
    </r>
  </si>
  <si>
    <r>
      <t>Noortekeskus</t>
    </r>
    <r>
      <rPr>
        <sz val="8"/>
        <rFont val="Arial"/>
        <family val="2"/>
        <charset val="186"/>
      </rPr>
      <t xml:space="preserve"> (Mustamäe Kultuurikeskus Kaja)</t>
    </r>
  </si>
  <si>
    <r>
      <t>Päevakeskuse teenused</t>
    </r>
    <r>
      <rPr>
        <sz val="8"/>
        <rFont val="Arial"/>
        <family val="2"/>
        <charset val="186"/>
      </rPr>
      <t xml:space="preserve"> (Mustamäe Päevakeskus)</t>
    </r>
  </si>
  <si>
    <r>
      <t>Koduteenused</t>
    </r>
    <r>
      <rPr>
        <sz val="8"/>
        <rFont val="Arial"/>
        <family val="2"/>
        <charset val="186"/>
      </rPr>
      <t xml:space="preserve"> (Mustamäe Päevakeskus)</t>
    </r>
  </si>
  <si>
    <r>
      <t>Tootegrupp: kultuuritegevus</t>
    </r>
    <r>
      <rPr>
        <sz val="8"/>
        <rFont val="Arial"/>
        <family val="2"/>
        <charset val="186"/>
      </rPr>
      <t xml:space="preserve"> (Nõmme Kultuurikeskus)</t>
    </r>
  </si>
  <si>
    <r>
      <t>Noortekeskus</t>
    </r>
    <r>
      <rPr>
        <sz val="8"/>
        <rFont val="Arial"/>
        <family val="2"/>
        <charset val="186"/>
      </rPr>
      <t xml:space="preserve"> (Nõmme Vaba Aja Keskus)</t>
    </r>
  </si>
  <si>
    <r>
      <t>Laste päevakeskuse teenused</t>
    </r>
    <r>
      <rPr>
        <sz val="8"/>
        <rFont val="Arial"/>
        <family val="2"/>
        <charset val="186"/>
      </rPr>
      <t xml:space="preserve"> (Nõmme Vaba Aja Keskus)</t>
    </r>
  </si>
  <si>
    <r>
      <t>Päevakeskuse teenused</t>
    </r>
    <r>
      <rPr>
        <sz val="8"/>
        <rFont val="Arial"/>
        <family val="2"/>
        <charset val="186"/>
      </rPr>
      <t xml:space="preserve"> (Nõmme Vaba Aja Keskus)</t>
    </r>
  </si>
  <si>
    <r>
      <t>Koduteenused</t>
    </r>
    <r>
      <rPr>
        <sz val="8"/>
        <rFont val="Arial"/>
        <family val="2"/>
        <charset val="186"/>
      </rPr>
      <t xml:space="preserve"> (Nõmme Sotsiaalmaja)</t>
    </r>
  </si>
  <si>
    <r>
      <t>Sotsiaaleluaseme teenus</t>
    </r>
    <r>
      <rPr>
        <sz val="8"/>
        <rFont val="Arial"/>
        <family val="2"/>
        <charset val="186"/>
      </rPr>
      <t xml:space="preserve"> (Nõmme Sotsiaalmaja)</t>
    </r>
  </si>
  <si>
    <r>
      <t>Tootegrupp: kultuuritegevus</t>
    </r>
    <r>
      <rPr>
        <sz val="8"/>
        <rFont val="Arial"/>
        <family val="2"/>
        <charset val="186"/>
      </rPr>
      <t xml:space="preserve"> (Pirita Vaba Aja Keskus)</t>
    </r>
  </si>
  <si>
    <r>
      <t>Noortekeskus</t>
    </r>
    <r>
      <rPr>
        <sz val="8"/>
        <rFont val="Arial"/>
        <family val="2"/>
        <charset val="186"/>
      </rPr>
      <t xml:space="preserve"> (Pirita Vaba Aja Keskus)</t>
    </r>
  </si>
  <si>
    <r>
      <t>Päevakeskuse teenused</t>
    </r>
    <r>
      <rPr>
        <sz val="8"/>
        <rFont val="Arial"/>
        <family val="2"/>
        <charset val="186"/>
      </rPr>
      <t xml:space="preserve"> (Pirita Vaba Aja Keskus)</t>
    </r>
  </si>
  <si>
    <r>
      <t>Tootegrupp: kultuuritegevus</t>
    </r>
    <r>
      <rPr>
        <sz val="8"/>
        <rFont val="Arial"/>
        <family val="2"/>
        <charset val="186"/>
      </rPr>
      <t xml:space="preserve"> (Salme Kultuurikeskus)</t>
    </r>
  </si>
  <si>
    <r>
      <t>Noortekeskus</t>
    </r>
    <r>
      <rPr>
        <sz val="8"/>
        <rFont val="Arial"/>
        <family val="2"/>
        <charset val="186"/>
      </rPr>
      <t xml:space="preserve"> (Põhja-Tallinna Noortekeskus)</t>
    </r>
  </si>
  <si>
    <r>
      <t>Päevakeskuse teenused</t>
    </r>
    <r>
      <rPr>
        <sz val="8"/>
        <rFont val="Arial"/>
        <family val="2"/>
        <charset val="186"/>
      </rPr>
      <t xml:space="preserve"> (Põhja-Tallinna Sotsiaalkeskus)</t>
    </r>
  </si>
  <si>
    <r>
      <t>Koduteenused</t>
    </r>
    <r>
      <rPr>
        <sz val="8"/>
        <rFont val="Arial"/>
        <family val="2"/>
        <charset val="186"/>
      </rPr>
      <t xml:space="preserve"> (Paljassaare Sotsiaalmaja)</t>
    </r>
  </si>
  <si>
    <t>tegevuskulud välisrahastuse kaasfinantseerimise arvelt</t>
  </si>
  <si>
    <t>SISSETULEK</t>
  </si>
  <si>
    <t>VÄLJAMINEK</t>
  </si>
  <si>
    <r>
      <t>Kalmistuteenused</t>
    </r>
    <r>
      <rPr>
        <sz val="8"/>
        <rFont val="Arial"/>
        <family val="2"/>
        <charset val="186"/>
      </rPr>
      <t xml:space="preserve"> (Kadrioru Park)</t>
    </r>
  </si>
  <si>
    <t>Biometaani transpordisektoris tarbimise toetus</t>
  </si>
  <si>
    <t>Tootevaldkond: sport ja liikumisharrastus</t>
  </si>
  <si>
    <t>sellest sotsiaalmajutusüksused</t>
  </si>
  <si>
    <t>muud sotsiaalobjektid</t>
  </si>
  <si>
    <t>Kultuuri- ja Spordiameti haldusala</t>
  </si>
  <si>
    <t>6. Kultuuri- ja Spordiameti haldusala</t>
  </si>
  <si>
    <t>6.1. Kultuuri- ja Spordiamet</t>
  </si>
  <si>
    <t>6.9. Pirita Spordikeskus</t>
  </si>
  <si>
    <t>6.10. Tallinna Spordihall</t>
  </si>
  <si>
    <t>6.11. Kadrioru Staadion</t>
  </si>
  <si>
    <t>6.12. Kristiine Sport</t>
  </si>
  <si>
    <t>6.13. Nõmme Spordikeskus</t>
  </si>
  <si>
    <t>6.15. Tondiraba Spordikeskus</t>
  </si>
  <si>
    <t>6.14. Tallinna Spordikool</t>
  </si>
  <si>
    <t xml:space="preserve">Strateegiakeskuse haldusala </t>
  </si>
  <si>
    <t>sh Tallinna Lastekodu</t>
  </si>
  <si>
    <t>Tallinna Laste Turvakeskus</t>
  </si>
  <si>
    <r>
      <t>Tootegrupp: noorsootöö</t>
    </r>
    <r>
      <rPr>
        <sz val="8"/>
        <rFont val="Arial"/>
        <family val="2"/>
        <charset val="186"/>
      </rPr>
      <t xml:space="preserve"> (Tallinna Haridusamet)</t>
    </r>
  </si>
  <si>
    <t>Kultuuri- ja Spordiamet</t>
  </si>
  <si>
    <t>Spordiprojektide ja -organisatsioonide toetamine</t>
  </si>
  <si>
    <t xml:space="preserve">Rannamõisa tee rekonstrueerimine (Lõuka tn - Tiskre oja sild) </t>
  </si>
  <si>
    <t>Jõe tn, Pronksi tn rekonstrueerimine</t>
  </si>
  <si>
    <t>Linnakantselei haldusala</t>
  </si>
  <si>
    <t>COVID-19 viiruse leviku ennetamise ja tõkestamisega kaasnevate kulude reserv</t>
  </si>
  <si>
    <t>Eelarvepositsioonid:</t>
  </si>
  <si>
    <t>Eelarvepositsioon:</t>
  </si>
  <si>
    <t>Ohtlike mänguväljakuelementide teisaldamine ja utiliseerimine</t>
  </si>
  <si>
    <t>Strateegiakeskus</t>
  </si>
  <si>
    <t>Linnavalitsus</t>
  </si>
  <si>
    <t>Linnakantselei haldus</t>
  </si>
  <si>
    <t xml:space="preserve">sellest </t>
  </si>
  <si>
    <t>Eesti Juristide Liit linnaelanikele tasuta õigusnõustamise korraldamise toetamiseks Eesti ülikoolides õppivate õigusteaduskonna üliõpilaste praktikana</t>
  </si>
  <si>
    <r>
      <t xml:space="preserve">Tootegrupp: arhiiviteenused </t>
    </r>
    <r>
      <rPr>
        <u/>
        <sz val="8"/>
        <rFont val="Arial"/>
        <family val="2"/>
        <charset val="186"/>
      </rPr>
      <t>(Tallinna Linnaarhiiv)</t>
    </r>
  </si>
  <si>
    <t>Strateegiline planeerimine</t>
  </si>
  <si>
    <t>Kommunikatsioon</t>
  </si>
  <si>
    <t>Välisrahastusega projekt "Rohelinnad - GoGreenRoutes““ (ü)</t>
  </si>
  <si>
    <t>Ettevõtlusvaldkonna eelarvepositsioonid</t>
  </si>
  <si>
    <t>eelarvepositsioon:</t>
  </si>
  <si>
    <t>2. Linnakantselei  haldusala</t>
  </si>
  <si>
    <t xml:space="preserve">2.1 Linnakantselei </t>
  </si>
  <si>
    <t>2.2 Linnaarhiiv</t>
  </si>
  <si>
    <t>3. Strateegiakeskuse haldusala</t>
  </si>
  <si>
    <t xml:space="preserve">3.1. Strateegiakeskus </t>
  </si>
  <si>
    <t>3.2. Tallinna Turud</t>
  </si>
  <si>
    <t>3.3. Tallinna Jäätmekeskus</t>
  </si>
  <si>
    <t xml:space="preserve">Toetus Sihtasutusele EXPO 2020 Dubai Eesti Esindus </t>
  </si>
  <si>
    <t>rohepöörde programm</t>
  </si>
  <si>
    <t>Intressid antud laenudelt</t>
  </si>
  <si>
    <t>Kasum/kahjum varude ja kauba müügist</t>
  </si>
  <si>
    <t>7. Sotsiaal- ja Tervishoiuameti haldusala</t>
  </si>
  <si>
    <t>7.1. Sotsiaal- ja Tervishoiuamet</t>
  </si>
  <si>
    <t>7.2. Käo Tugikeskus</t>
  </si>
  <si>
    <t>7.3. Tallinna Lastekodu</t>
  </si>
  <si>
    <t>7.4. Tallinna Vaimse Tervise Keskus</t>
  </si>
  <si>
    <t>7.5. Iru Hooldekodu</t>
  </si>
  <si>
    <t>7.6. Tallinna Tugikeskus Juks</t>
  </si>
  <si>
    <t>7.7. Tallinna Sotsiaaltöö Keskus</t>
  </si>
  <si>
    <t>8. Linnavaraamet</t>
  </si>
  <si>
    <t>9. Transpordiamet</t>
  </si>
  <si>
    <t>10. Keskkonna- ja Kommunaalameti haldusala</t>
  </si>
  <si>
    <t>10.1. Keskkonna- ja Kommunaalamet</t>
  </si>
  <si>
    <t>10.2. Tallinna Loomaaed</t>
  </si>
  <si>
    <t>10.3. Tallinna Botaanikaaed</t>
  </si>
  <si>
    <t>10.4. Kadrioru Park</t>
  </si>
  <si>
    <t>11. Linnaplaneerimise Amet</t>
  </si>
  <si>
    <t>Partnerlinnade ja delegatsioonide vastuvõtukulud</t>
  </si>
  <si>
    <t>Tootegrupp: tarbijakaitse</t>
  </si>
  <si>
    <t>Tööjõukulude reserv</t>
  </si>
  <si>
    <t>ühistranspordipeatuste märgistamine</t>
  </si>
  <si>
    <t>programm "Minu Põhja-Tallinn"</t>
  </si>
  <si>
    <t>Strateegiakeskuse haldus</t>
  </si>
  <si>
    <r>
      <t xml:space="preserve">Taaskasutatavate ja ohtlike jäätmete käitlus </t>
    </r>
    <r>
      <rPr>
        <sz val="8"/>
        <rFont val="Arial"/>
        <family val="2"/>
        <charset val="186"/>
      </rPr>
      <t>(Strateegiakeskus, Tallinna Jäätmekeskus)</t>
    </r>
  </si>
  <si>
    <t>Teenused psüühiliste erivajadustega inimestele</t>
  </si>
  <si>
    <t>Ööpäevane üldhoolduse teenus*</t>
  </si>
  <si>
    <t>Tootegrupp: ringmajandus</t>
  </si>
  <si>
    <r>
      <t xml:space="preserve">Ringmajanduse arendamine </t>
    </r>
    <r>
      <rPr>
        <sz val="8"/>
        <rFont val="Arial"/>
        <family val="2"/>
        <charset val="186"/>
      </rPr>
      <t>(Strateegiakeskus)</t>
    </r>
  </si>
  <si>
    <t>Kesklinna uussisserändajate projekt – The project of immigrants of Tallinn City Center</t>
  </si>
  <si>
    <t>Välisrahastusega projekt „Abiks hoolduskoormusega inimestele“ (ü)</t>
  </si>
  <si>
    <t>Välisrahastusega projekt „CitySCAPE - linnasisene küberturvaline multimodaalne transpordi ökosüsteem" (ü)</t>
  </si>
  <si>
    <t>Ökosaared - Urban Eco Islands</t>
  </si>
  <si>
    <t>Vahendades vähemusi – Agents of change: Mediating Minorities</t>
  </si>
  <si>
    <t>Välisrahastusega projekt "Vahendades vähemusi – Agents of change: Mediating Minorities" (ü)</t>
  </si>
  <si>
    <t>Projekt „Erivajadustega inimeste eluaseme füüsiline kohandamine“ (ü)</t>
  </si>
  <si>
    <t>* Eelarve täitmisel on linnavalitsusel õigus muuta summade jaotust rahvusvaheliste spordiürituste ja muude spordiprojektide üldsumma piires.</t>
  </si>
  <si>
    <t>* Eelarve täitmisel on õigus muuta summade jaotust eelarvepositsiooni üldsumma piires.</t>
  </si>
  <si>
    <t>Sport ja liikumisharrastus</t>
  </si>
  <si>
    <t>Mittetulundusühing Integratsiooni Ühiskondlik Algatuskeskus</t>
  </si>
  <si>
    <r>
      <t>Staadionid</t>
    </r>
    <r>
      <rPr>
        <sz val="8"/>
        <rFont val="Arial"/>
        <family val="2"/>
        <charset val="186"/>
      </rPr>
      <t xml:space="preserve"> (Kadrioru Staadion, Kultuuri- ja Spordiamet - Snelli Staadion)</t>
    </r>
  </si>
  <si>
    <r>
      <t xml:space="preserve">Ööpäevane üldhoolduse teenus </t>
    </r>
    <r>
      <rPr>
        <sz val="8"/>
        <rFont val="Arial"/>
        <family val="2"/>
        <charset val="186"/>
      </rPr>
      <t>(Nõmme Sotsiaalmaja)</t>
    </r>
  </si>
  <si>
    <t>IT-teenused (ü)*</t>
  </si>
  <si>
    <t>muud IT-teenused</t>
  </si>
  <si>
    <t>haridusasutuste IKT-keskkond</t>
  </si>
  <si>
    <t>geomaatika</t>
  </si>
  <si>
    <t>MTÜ Tantsupeomuuseum</t>
  </si>
  <si>
    <t>Esialgne eelarve</t>
  </si>
  <si>
    <t>Täpsustatud eelarve</t>
  </si>
  <si>
    <t xml:space="preserve">Linnavolikogu kantselei  </t>
  </si>
  <si>
    <t>LINNA TUGITEENUSED</t>
  </si>
  <si>
    <t>HARIDUS</t>
  </si>
  <si>
    <t>KULTUUR</t>
  </si>
  <si>
    <t>NOORSOOTÖÖ</t>
  </si>
  <si>
    <t>SOTSIAALHOOLEKANNE</t>
  </si>
  <si>
    <t>TERVISHOID</t>
  </si>
  <si>
    <t>ETTEVÕTLUSKESKKOND</t>
  </si>
  <si>
    <t>LINNAMAJANDUS</t>
  </si>
  <si>
    <t>HEAKORD</t>
  </si>
  <si>
    <t>TEHNOVÕRGUD</t>
  </si>
  <si>
    <t>KESKKONNAKAITSE</t>
  </si>
  <si>
    <t>Linnavaraamet1</t>
  </si>
  <si>
    <t>LINNATRANSPORT</t>
  </si>
  <si>
    <t>Transpordiamet1</t>
  </si>
  <si>
    <t>Keskkonna- ja Kommunaalameti haldusala1</t>
  </si>
  <si>
    <t>TEED JA TÄNAVAD</t>
  </si>
  <si>
    <t>MUUD KOMMUNAALKULUD</t>
  </si>
  <si>
    <t>LINNAPLANEERIMINE</t>
  </si>
  <si>
    <t>Linnaplaneerimise Amet1</t>
  </si>
  <si>
    <t>AVALIK KORD</t>
  </si>
  <si>
    <t>Munitsipaalpolitsei Amet1</t>
  </si>
  <si>
    <t>LINNAOSADE RESERVFONDID</t>
  </si>
  <si>
    <t>LINNA JUHTIMINE</t>
  </si>
  <si>
    <t>Linna juhtimine</t>
  </si>
  <si>
    <t>Kultuur</t>
  </si>
  <si>
    <t>Ettevõtluskeskkond</t>
  </si>
  <si>
    <t>Muud kommunaalkulud</t>
  </si>
  <si>
    <t>Linnaplaneerimine</t>
  </si>
  <si>
    <t>Avalik kord</t>
  </si>
  <si>
    <t>Valdkonnad kokku</t>
  </si>
  <si>
    <t>Finantskulud</t>
  </si>
  <si>
    <t>Reservfond (linnavalitsus ja linnaosad)</t>
  </si>
  <si>
    <t>Kohtuvaidluste ja muude õiguslike vaidlustega seotud nõuete reserv</t>
  </si>
  <si>
    <t>Linna vara ja kohustustega seonduvate toimingute reserv</t>
  </si>
  <si>
    <t>Oma- ja kaasfinantseerimise ja välisprojektide ettevalmistamise reserv</t>
  </si>
  <si>
    <t>Tegevuskulud, v.a riigieelarve ja muude eraldiste arvelt</t>
  </si>
  <si>
    <t>Riigi ja muude institutsioonide toetuste arvelt tehtavad kulud</t>
  </si>
  <si>
    <t>Finantskulu (üld+PPP)</t>
  </si>
  <si>
    <t>Kulud ametiasutuste haldusalade lõikes</t>
  </si>
  <si>
    <r>
      <t>Linnaplaneerimise Amet</t>
    </r>
    <r>
      <rPr>
        <sz val="10"/>
        <color theme="0"/>
        <rFont val="Arial"/>
        <family val="2"/>
        <charset val="186"/>
      </rPr>
      <t>1</t>
    </r>
  </si>
  <si>
    <r>
      <t>Munitsipaalpolitsei Amet</t>
    </r>
    <r>
      <rPr>
        <sz val="10"/>
        <color theme="0"/>
        <rFont val="Arial"/>
        <family val="2"/>
        <charset val="186"/>
      </rPr>
      <t>1</t>
    </r>
  </si>
  <si>
    <t>Ametiasutuste haldusalad kokku</t>
  </si>
  <si>
    <t>Linnavalitsuse reservfond</t>
  </si>
  <si>
    <t>Kulud linnakassa arvelt</t>
  </si>
  <si>
    <t>Töötasu</t>
  </si>
  <si>
    <t>Kulud omatulude arvelt</t>
  </si>
  <si>
    <t>energeetika säästva arengu kava väljatöötamine</t>
  </si>
  <si>
    <t>töötasu</t>
  </si>
  <si>
    <t>MAAS Tallinn - "Targa linna tippkeskus" Infovahetuse platvorm ühis- ja nõudepõhise transpordisüsteemi haldamiseks</t>
  </si>
  <si>
    <t>Sohjoa Baltic</t>
  </si>
  <si>
    <t>Välisrahastusega projekt MAAS Tallinn - "Targa linna tippkeskus" Infovahetuse platvorm ühis- ja nõudepõhise transpordisüsteemi haldamiseks (ü)</t>
  </si>
  <si>
    <t>Tulu varude müügist</t>
  </si>
  <si>
    <r>
      <t>Tootegrupp: põhi- ja üldkeskharidus</t>
    </r>
    <r>
      <rPr>
        <b/>
        <sz val="10"/>
        <rFont val="Arial"/>
        <family val="2"/>
        <charset val="186"/>
      </rPr>
      <t xml:space="preserve"> (ü)</t>
    </r>
  </si>
  <si>
    <t>(ü) määrata ülekantavaks</t>
  </si>
  <si>
    <t>Noorte sotsiaalse tõrjutuse ennetamise teenused</t>
  </si>
  <si>
    <t>Muud eespoolnimetamata tulud majandustegevusest</t>
  </si>
  <si>
    <t>Kriisiabi Ida-Viru ja Harju maakonna kultuurikorraldajatele</t>
  </si>
  <si>
    <t>raske ja sügava puudega lastele tugiisiku-, lapsehoiu- ja transporditeenuse arendamine ja pakkumine kohalikus omavalitsuses</t>
  </si>
  <si>
    <t>tugiteenused perepõhise asendushoolduse pakkujatele</t>
  </si>
  <si>
    <t>kogemusnõustamine</t>
  </si>
  <si>
    <t>7.8. Tallinna Kiirabi</t>
  </si>
  <si>
    <t>7.9. Tallinna Laste Turvakeskus</t>
  </si>
  <si>
    <t xml:space="preserve">         hooldustasu</t>
  </si>
  <si>
    <t>kinnise lasteasutuse teenus</t>
  </si>
  <si>
    <t>Kestliku arengu eesmärkide elluviimine linnades – SDGs in cities“ (Global Goals for Cities)</t>
  </si>
  <si>
    <t>Tallinna-Helsingi digitaalne dünaamiline rohemudel - Green Twins (Rohelised kaksiklinnad)</t>
  </si>
  <si>
    <t>Hoone suutlikkuse audit reaalajas - DigiAudit</t>
  </si>
  <si>
    <t>Välisrahastusega projekt "Tallinna-Helsingi digitaalne dünaamiline rohemudel - Green Twins (Rohelised kaksiklinnad)" (ü)</t>
  </si>
  <si>
    <t>Välisrahastusega projekt "Hoone suutlikkuse audit reaalajas - DigiAudit" (ü)</t>
  </si>
  <si>
    <t>Osalemine (OECD) programmis "Ringmajandus linnades ja regioonides"</t>
  </si>
  <si>
    <r>
      <t xml:space="preserve">Raske ja sügava puudega lastele tugiisiku-, lapsehoiu- ja transporditeenuse arendamine ja pakkumine kohalikus omavalitsuses </t>
    </r>
    <r>
      <rPr>
        <b/>
        <sz val="10"/>
        <rFont val="Arial"/>
        <family val="2"/>
        <charset val="186"/>
      </rPr>
      <t>(ü)</t>
    </r>
  </si>
  <si>
    <r>
      <t xml:space="preserve">Kinnise lasteasutuse teenus </t>
    </r>
    <r>
      <rPr>
        <sz val="8"/>
        <rFont val="Arial"/>
        <family val="2"/>
        <charset val="186"/>
      </rPr>
      <t>(Tallinna Laste Turvakeskus)</t>
    </r>
    <r>
      <rPr>
        <sz val="10"/>
        <rFont val="Arial"/>
        <family val="2"/>
        <charset val="186"/>
      </rPr>
      <t xml:space="preserve"> </t>
    </r>
    <r>
      <rPr>
        <b/>
        <sz val="10"/>
        <rFont val="Arial"/>
        <family val="2"/>
        <charset val="186"/>
      </rPr>
      <t>(ü)</t>
    </r>
  </si>
  <si>
    <r>
      <rPr>
        <sz val="10"/>
        <rFont val="Arial"/>
        <family val="2"/>
        <charset val="186"/>
      </rPr>
      <t>Rehabilitatsiooniteenus</t>
    </r>
    <r>
      <rPr>
        <sz val="8"/>
        <rFont val="Arial"/>
        <family val="2"/>
        <charset val="186"/>
      </rPr>
      <t xml:space="preserve"> (Tallinna Lastekodu)</t>
    </r>
  </si>
  <si>
    <r>
      <rPr>
        <sz val="10"/>
        <rFont val="Arial"/>
        <family val="2"/>
        <charset val="186"/>
      </rPr>
      <t>Tugiteenused perepõhise asendushoolduse pakkujatele</t>
    </r>
    <r>
      <rPr>
        <sz val="8"/>
        <rFont val="Arial"/>
        <family val="2"/>
        <charset val="186"/>
      </rPr>
      <t xml:space="preserve"> (Tallinna Lastekodu)</t>
    </r>
  </si>
  <si>
    <t>Tegevustoetus alaealisena seksuaalvägivalda kogenud täiskasvanute tugigruppidele</t>
  </si>
  <si>
    <t>Tegevustoetus Tallinna ja Harjumaa Lasterikaste Perede Liidule</t>
  </si>
  <si>
    <t xml:space="preserve">toetus esimese haiguspäeva hüvitamiseks </t>
  </si>
  <si>
    <t>Projekt "500 kodu korda"</t>
  </si>
  <si>
    <t>Kesklinna Linnaosa Valitsuse haldusala</t>
  </si>
  <si>
    <t>muud eespool nimetamata tulud majandustegevusest</t>
  </si>
  <si>
    <t>Vana Baskini Teater</t>
  </si>
  <si>
    <t xml:space="preserve">Eesti Autospordi Liit  </t>
  </si>
  <si>
    <t>Siseskatepargi tegevuse toetamine (KEERDTREPP MTÜ)</t>
  </si>
  <si>
    <t>Eesti Ööjooks (Mittetulundusühing Rakvere Maraton)</t>
  </si>
  <si>
    <t>Sünnitoetus (a)</t>
  </si>
  <si>
    <t>Saadud kahjuhüvitised</t>
  </si>
  <si>
    <r>
      <t xml:space="preserve">Sotsiaalhoolekanne </t>
    </r>
    <r>
      <rPr>
        <b/>
        <i/>
        <sz val="10"/>
        <color theme="0"/>
        <rFont val="Arial"/>
        <family val="2"/>
        <charset val="186"/>
      </rPr>
      <t>1</t>
    </r>
  </si>
  <si>
    <r>
      <t>Kultuuri- ja Spordiamet</t>
    </r>
    <r>
      <rPr>
        <u/>
        <sz val="10"/>
        <color theme="0"/>
        <rFont val="Arial"/>
        <family val="2"/>
        <charset val="186"/>
      </rPr>
      <t>1</t>
    </r>
  </si>
  <si>
    <r>
      <t>Tervishoid</t>
    </r>
    <r>
      <rPr>
        <b/>
        <i/>
        <sz val="10"/>
        <color theme="0"/>
        <rFont val="Arial"/>
        <family val="2"/>
        <charset val="186"/>
      </rPr>
      <t>1</t>
    </r>
  </si>
  <si>
    <r>
      <t>Sotsiaal- ja Tervishoiuameti haldusala</t>
    </r>
    <r>
      <rPr>
        <b/>
        <sz val="12"/>
        <color theme="0"/>
        <rFont val="Arial"/>
        <family val="2"/>
        <charset val="186"/>
      </rPr>
      <t>1</t>
    </r>
  </si>
  <si>
    <t>tulubaasi stabiliseerimise toetus</t>
  </si>
  <si>
    <t>COVID-19 olukorras kohaliku omavalitsuse üksustele investeeringuteks ning lammutamise ja remonttöödega seotud tegevusteks toetus</t>
  </si>
  <si>
    <t>Hoolivad isad</t>
  </si>
  <si>
    <t>Välisrahastusega projekt „Hoolivad isad“</t>
  </si>
  <si>
    <t>Projekt “Koolitusprogramm ja tugigrupid naiste vägivaldse käitumise ennetamiseks</t>
  </si>
  <si>
    <t>tänavavalgustuse juhtimissüsteemi rent</t>
  </si>
  <si>
    <t>keskkonnamõju hindamised</t>
  </si>
  <si>
    <t>Tallinna Lastekodu imikute ja erivajadustega laste ning täiskasvanute maja rekonstrueerimine</t>
  </si>
  <si>
    <t>Viljandi mnt kergliiklustee II etapp</t>
  </si>
  <si>
    <t>Mahatma Gandhi monumendi rajamine</t>
  </si>
  <si>
    <t>Sadamaala kergliiklustee lõigus Kalaranna tn - Reidi tee</t>
  </si>
  <si>
    <t xml:space="preserve">Lasnamäe rattatee ühendus kesklinnaga I etapp
</t>
  </si>
  <si>
    <t>Kesklinna Valitsuse haldusala</t>
  </si>
  <si>
    <t>Varude müük</t>
  </si>
  <si>
    <t>Kabeliit</t>
  </si>
  <si>
    <t>MUUTUS MUUS FINANTSVARAS</t>
  </si>
  <si>
    <t>Aktsiate soetus</t>
  </si>
  <si>
    <t>Eesti Taekwondo Liit</t>
  </si>
  <si>
    <t>TULUD</t>
  </si>
  <si>
    <t>KULUD</t>
  </si>
  <si>
    <t xml:space="preserve"> Sihtasutus Hortus Litterarum (Dovlatovi päevad Tallinnas )</t>
  </si>
  <si>
    <t>Toetus Eesti Kirikute Nõukogule</t>
  </si>
  <si>
    <t>üldhariduskoolidele (digi)õppekirjanduse kättesaadavuse tagamise toetus</t>
  </si>
  <si>
    <t>üldhariduskoolidele COVID-19 kriisi tõttu tekkinud õpilünkade tasandamiseks vajaliku lisaõppe tagamise toetus</t>
  </si>
  <si>
    <t>sellest Eesti Võrkpalli Liit</t>
  </si>
  <si>
    <t>Eesti Kergejõustikuliit (U23-vanuseklassi Euroopa meistrivõistlused)</t>
  </si>
  <si>
    <t>Konkurss „Tallinna talent“</t>
  </si>
  <si>
    <t>sellest Konkursi „Tallinna talent“ stipendium</t>
  </si>
  <si>
    <t>Laenunõude suurenemine</t>
  </si>
  <si>
    <t>%</t>
  </si>
  <si>
    <t>Taasiseseisvumise aastapäev</t>
  </si>
  <si>
    <r>
      <t xml:space="preserve">Pilootprojekt "Teismeliste ja noorte vaimse tervise kompleksteenus" </t>
    </r>
    <r>
      <rPr>
        <u/>
        <sz val="8"/>
        <rFont val="Arial"/>
        <family val="2"/>
        <charset val="186"/>
      </rPr>
      <t>(Tallinna Vaimse Tervise Keskus)</t>
    </r>
  </si>
  <si>
    <t>Lisaeelarve</t>
  </si>
  <si>
    <t>Toetus MTÜ-le Grupi Tugi erivajadusega laste vanematele grupinõustamise teenuse pakkumiseks</t>
  </si>
  <si>
    <t>Toetus MTÜ-le Erivajadustega Inimeste Toetusühinge Tugiliisu tegevuskeskuste käivitamiseks</t>
  </si>
  <si>
    <t>Toetus MTÜ-le Erivajadustega Laste ja Noorte Tugiühing</t>
  </si>
  <si>
    <t>haridustöötajate tänamine ja tunnustamine õpetajate päeval</t>
  </si>
  <si>
    <t>Linnakassa tulud</t>
  </si>
  <si>
    <t>I lisaeelarve</t>
  </si>
  <si>
    <t>Osaluste soetamine (-)</t>
  </si>
  <si>
    <t>Ülemiste terminali ja Vanasadama vaheline trammitee</t>
  </si>
  <si>
    <t>toetuse arvelt välisprojektide kaasfinantseerimiseks</t>
  </si>
  <si>
    <t>Toetus välisprojektide kaasfinantseerimiseks</t>
  </si>
  <si>
    <t>Tallinna Linnateatrile tegevuskuludeks</t>
  </si>
  <si>
    <t>LPA muinsuskaitse osakonna toetus riigilt</t>
  </si>
  <si>
    <t>sellest planeeringud ning linnaruumi kvaliteedi tõstmine</t>
  </si>
  <si>
    <t>arengu kavandamine</t>
  </si>
  <si>
    <t>Rahvusvahelise koostöö arendamine ja liikmemaksud</t>
  </si>
  <si>
    <t>Taltech targa linna professuuri toetamine</t>
  </si>
  <si>
    <t>Sihtkoha tuntus</t>
  </si>
  <si>
    <t>Meeldejääv külastuselamus</t>
  </si>
  <si>
    <t>Kestlik ja andmepõhine turismiarendus</t>
  </si>
  <si>
    <t>MTÜ Revali Raeapteegi Muuseumiühing</t>
  </si>
  <si>
    <t>Tallinna Vaimse Tervise Keskus, sh:</t>
  </si>
  <si>
    <r>
      <t xml:space="preserve">Noorte tugiprogramm </t>
    </r>
    <r>
      <rPr>
        <sz val="8"/>
        <rFont val="Arial"/>
        <family val="2"/>
        <charset val="186"/>
      </rPr>
      <t>(Tallinna Laste Turvakeskus)</t>
    </r>
  </si>
  <si>
    <t>Sotsiaalvaldkonna töötajate psühholoogiline nõustamine Tallinna linna asutustes</t>
  </si>
  <si>
    <r>
      <t>Noorsootöö</t>
    </r>
    <r>
      <rPr>
        <sz val="9"/>
        <color theme="0"/>
        <rFont val="Arial"/>
        <family val="2"/>
        <charset val="186"/>
      </rPr>
      <t>1</t>
    </r>
  </si>
  <si>
    <r>
      <t>Haridus</t>
    </r>
    <r>
      <rPr>
        <sz val="9"/>
        <color theme="0"/>
        <rFont val="Arial"/>
        <family val="2"/>
        <charset val="186"/>
      </rPr>
      <t>1</t>
    </r>
  </si>
  <si>
    <t>Peterburi kohtumised</t>
  </si>
  <si>
    <t>Muusikalinn</t>
  </si>
  <si>
    <t>Wiiralti preemia</t>
  </si>
  <si>
    <t>Tallinna Haigla</t>
  </si>
  <si>
    <t>Jakob Westholmi Gümnaasiumi juurdeehitus</t>
  </si>
  <si>
    <t>Tallinna Reaalkooli juurdeehitus</t>
  </si>
  <si>
    <t>Uute trammide soetamine (Tallinna Linnatranspordi AS)</t>
  </si>
  <si>
    <t xml:space="preserve">Eelarvepositsioon: </t>
  </si>
  <si>
    <t>Üüritoetus eluruumi tagamise teenuse alternatiivina</t>
  </si>
  <si>
    <t xml:space="preserve">Merivälja Lasteaed </t>
  </si>
  <si>
    <t>Tallinna Politseiorkester</t>
  </si>
  <si>
    <t>Mittetulundusühing Tallinna kobarmess</t>
  </si>
  <si>
    <t>annetused</t>
  </si>
  <si>
    <t>rohepöörde toetus</t>
  </si>
  <si>
    <t>II lisaeelarve</t>
  </si>
  <si>
    <t>Osaluste müük (lõpetamine) (+)</t>
  </si>
  <si>
    <t>toetus "Hoovid korda"</t>
  </si>
  <si>
    <t>toetus "Roheline õu"</t>
  </si>
  <si>
    <r>
      <t xml:space="preserve">Muud linnatranspordi kulud </t>
    </r>
    <r>
      <rPr>
        <u/>
        <sz val="10"/>
        <color rgb="FF00B0F0"/>
        <rFont val="Arial"/>
        <family val="2"/>
        <charset val="186"/>
      </rPr>
      <t>*</t>
    </r>
  </si>
  <si>
    <t>Välisrahastusega projekt „School Food for Change“ (ü)</t>
  </si>
  <si>
    <t xml:space="preserve">Perepäev/Taaskohtumine 21. augustil </t>
  </si>
  <si>
    <t>Kultuuri kättesaadavuse uuring ja kaasamisüritused Koplis</t>
  </si>
  <si>
    <t>Merelaevanduse Veteranide Klubi</t>
  </si>
  <si>
    <t>AS Ekspress Meedia</t>
  </si>
  <si>
    <t>sellest Number One Fight Show (Mittetulundusühing Eesti Muay Thai Föderatsioon)</t>
  </si>
  <si>
    <t>Eesti Karate Föderatsioon</t>
  </si>
  <si>
    <t>perioodika tellimine</t>
  </si>
  <si>
    <t>käitumishäiretega laste rehablilitatsiooniteenus</t>
  </si>
  <si>
    <t>COVID-19 puhangust tingitud lisarahastus kinnise lasteasutuse teenusele Tallinna Laste Turvakodus</t>
  </si>
  <si>
    <t>Toetus Sihtasutusele Naarits</t>
  </si>
  <si>
    <t>täiendav toetusmeede eakatele</t>
  </si>
  <si>
    <t>Tegevustoetus Sihtasutusele Kadunud</t>
  </si>
  <si>
    <t>Tegevustoetus Harjumaa Lasterikkad MTÜ</t>
  </si>
  <si>
    <t>Toetus AS-le Ekspress Meedia</t>
  </si>
  <si>
    <t>MTÜ Eesti Disainikeskus</t>
  </si>
  <si>
    <t>üld- ja kutsehariduskoolidele õpilaste COVID-19 testimise toetus</t>
  </si>
  <si>
    <t>COVID-19 puhangust tingitud erakorraline abi kultuurikorraldajatele</t>
  </si>
  <si>
    <t>Birgitta festivali tegevustoetus Kultuuriministeeriumi COVID 19 kriisimeetme reservist</t>
  </si>
  <si>
    <t>K. Pätsi monumendi rajamine (riigieelarveline toetus)</t>
  </si>
  <si>
    <t>K. Pätsi monumendi rajamine (Konstantin Pätsi Muuseum)</t>
  </si>
  <si>
    <t>kultuuriranitsa toetus</t>
  </si>
  <si>
    <t>Laulu- ja tantsupeo protsessi arendustegevused</t>
  </si>
  <si>
    <t>Laulu- ja tantsupeo protsessis osalevate kollektiivide toetamine</t>
  </si>
  <si>
    <t>Muusikavaldkonna projektide toetamine</t>
  </si>
  <si>
    <t>Kopli parandustöökoda: uute majandusmudelite ja ühiskondliku organiseerumise katselabor</t>
  </si>
  <si>
    <r>
      <t>Laste päevakeskuse teenused</t>
    </r>
    <r>
      <rPr>
        <sz val="8"/>
        <rFont val="Arial"/>
        <family val="2"/>
        <charset val="186"/>
      </rPr>
      <t xml:space="preserve"> (Tallinna Kesklinna Sotsiaalkeskus)</t>
    </r>
  </si>
  <si>
    <t>Kopli parandustöökoda: uute majandusmudelite ja ühiskondliku organiseerumise katselabor (ü)</t>
  </si>
  <si>
    <t>Kadaka staadion</t>
  </si>
  <si>
    <t>"Bicification: jalgrattakrediit"</t>
  </si>
  <si>
    <t>Välisrahastusega projekt "Bicification: jalgrattakrediit" (ü)</t>
  </si>
  <si>
    <t>Kirikute restaureerimise toetus</t>
  </si>
  <si>
    <t>Restaureerimistoetused</t>
  </si>
  <si>
    <t>Koolide ventilatsioonide parendustööd</t>
  </si>
  <si>
    <t>Asendusistutustasud</t>
  </si>
  <si>
    <t>Leppetrahvid</t>
  </si>
  <si>
    <t>Põhitänavate välisvalgustuse rekonstrueerimise I etapp (sh Mustamäe)</t>
  </si>
  <si>
    <t>Teine  lisaeelarve</t>
  </si>
  <si>
    <t>Osaluse lõpetamine</t>
  </si>
  <si>
    <t>Annetused</t>
  </si>
  <si>
    <t>tegevuskulud annetuste arvelt</t>
  </si>
  <si>
    <t>Linna asutuste energiakulude kompenseerimise reserv</t>
  </si>
  <si>
    <t>Politseiorkestri kontsert</t>
  </si>
  <si>
    <t>Energiakulude reserv</t>
  </si>
  <si>
    <r>
      <t>Annetused (</t>
    </r>
    <r>
      <rPr>
        <b/>
        <sz val="8"/>
        <rFont val="Arial"/>
        <family val="2"/>
        <charset val="186"/>
      </rPr>
      <t>Tallinna Lastekodu)</t>
    </r>
  </si>
  <si>
    <t>Eelnõu</t>
  </si>
  <si>
    <t>Muutus (2022 vs 2021 esialgne eelarve)</t>
  </si>
  <si>
    <t>Muutus (2022 vs 2021 täpsustatud eelarve)</t>
  </si>
  <si>
    <t>SHO palkade korrigeerimine</t>
  </si>
  <si>
    <t xml:space="preserve">        aktsiate ja osakute soetamine</t>
  </si>
  <si>
    <t xml:space="preserve">      laenude andmine</t>
  </si>
  <si>
    <t xml:space="preserve">       annetused</t>
  </si>
  <si>
    <t>liiklussimulatsioonimudel (ü)</t>
  </si>
  <si>
    <t>* Eelarve täitmisel on valdkonna abilinnapeal õigus muuta summade jaotust toetuste üldsumma piires.</t>
  </si>
  <si>
    <r>
      <t xml:space="preserve">Keskmise puudega lastele tugiisiku-, lapsehoiu- ja transporditeenuse arendamine ja pakkumine kohalikus omavalitsuses </t>
    </r>
    <r>
      <rPr>
        <b/>
        <sz val="10"/>
        <rFont val="Arial"/>
        <family val="2"/>
        <charset val="186"/>
      </rPr>
      <t>(ü)</t>
    </r>
  </si>
  <si>
    <t>Tallinn - Euroopa roheline pealinn</t>
  </si>
  <si>
    <t xml:space="preserve">Tartu Ülikooli väärikate ülikooli tegevuse toetamine Tallinnas </t>
  </si>
  <si>
    <t>Välisrahastusega projekt "Kestliku arengu eesmärkide elluviimine linnades - SDGs in cities" (Global Goals for Cities) (ü)</t>
  </si>
  <si>
    <r>
      <t>Väikeettevõtlus</t>
    </r>
    <r>
      <rPr>
        <vertAlign val="superscript"/>
        <sz val="10"/>
        <rFont val="Arial"/>
        <family val="2"/>
        <charset val="186"/>
      </rPr>
      <t>1</t>
    </r>
  </si>
  <si>
    <r>
      <t>Ettevõtluskeskkonna turundus</t>
    </r>
    <r>
      <rPr>
        <vertAlign val="superscript"/>
        <sz val="10"/>
        <rFont val="Arial"/>
        <family val="2"/>
        <charset val="186"/>
      </rPr>
      <t>2</t>
    </r>
  </si>
  <si>
    <t>välismessi toetus</t>
  </si>
  <si>
    <t>Sihtasutus Tallinna Teaduspark TEHNOPOL, sh:</t>
  </si>
  <si>
    <t>targa linna arendus</t>
  </si>
  <si>
    <t>targa linna innovatsiooniprojektid</t>
  </si>
  <si>
    <t>ESA BIC kosmose äriinkubatsioon</t>
  </si>
  <si>
    <t xml:space="preserve">Toetus AS-le Ekspress Meedia rohepöörde konverentside ja rahvusvaheliseks turunduseks </t>
  </si>
  <si>
    <t>eesti keele süvaõpe haridusasutuste töötajatele</t>
  </si>
  <si>
    <t>NEET noorte tugiteenused</t>
  </si>
  <si>
    <t>sellest Mittetulundusühing Noor Muusik ja Eesti Muusika- ja Teatriakadeemia (Rahvusvaheline konkurss Noor Muusik – Tallinn 2022)</t>
  </si>
  <si>
    <t>Erakorralised kulud eestkoste ülesande täitmiseks</t>
  </si>
  <si>
    <t>õppeaasta alguse toetus (end.nimetus ranitsatoetus)</t>
  </si>
  <si>
    <t>toetus "Fassaadid korda"</t>
  </si>
  <si>
    <t>muud renoveerimistoetused korteriühistutele (a)</t>
  </si>
  <si>
    <t>rattamajade toetus (rattastrateegia)</t>
  </si>
  <si>
    <t>* Eelarve täitmisel on lubatud soetada fooriobjektide hooldusremondi teostamiseks vajalikku materiaalset ja/või immateriaalset põhivara.
Eelarve täitmisel on valdkonna abilinnapeal õigus muuta summade jaotust eelarvepositsiooni üldsumma piires.</t>
  </si>
  <si>
    <t>Tootegrupp: parkimiskorraldus (a)</t>
  </si>
  <si>
    <t>Väikeettevõtluse toetamine (ü), sh</t>
  </si>
  <si>
    <r>
      <rPr>
        <i/>
        <vertAlign val="superscript"/>
        <sz val="9"/>
        <rFont val="Arial"/>
        <family val="2"/>
        <charset val="186"/>
      </rPr>
      <t>1</t>
    </r>
    <r>
      <rPr>
        <i/>
        <sz val="9"/>
        <rFont val="Arial"/>
        <family val="2"/>
        <charset val="186"/>
      </rPr>
      <t xml:space="preserve"> määrata kuludest ülekantavaks</t>
    </r>
  </si>
  <si>
    <r>
      <rPr>
        <i/>
        <vertAlign val="superscript"/>
        <sz val="9"/>
        <rFont val="Arial"/>
        <family val="2"/>
        <charset val="186"/>
      </rPr>
      <t>2</t>
    </r>
    <r>
      <rPr>
        <i/>
        <sz val="9"/>
        <rFont val="Arial"/>
        <family val="2"/>
        <charset val="186"/>
      </rPr>
      <t xml:space="preserve"> määrata kuludest ülekantavaks</t>
    </r>
  </si>
  <si>
    <t>20. Põhja-Tallinna Valitsuse haldusala</t>
  </si>
  <si>
    <t>20.1. Põhja-Tallinna Valitsus</t>
  </si>
  <si>
    <t>20.2. Põhja-Tallinna Sotsiaalkeskus</t>
  </si>
  <si>
    <t>20.3. Paljassaare Sotsiaalmaja</t>
  </si>
  <si>
    <t>20.4. Salme Kultuurikeskus</t>
  </si>
  <si>
    <t>20.5. Põhja-Tallinna Noortekeskus</t>
  </si>
  <si>
    <t>19. Pirita Linnaosa Valitsuse haldusala</t>
  </si>
  <si>
    <t>19.2. Pirita Vaba Aja Keskus</t>
  </si>
  <si>
    <t>18. Nõmme Linnaosa Valitsuse haldusala</t>
  </si>
  <si>
    <t>18.1. Nõmme Linnaosa Valitsus</t>
  </si>
  <si>
    <t>18.2. Nõmme Kultuurikeskus</t>
  </si>
  <si>
    <t>18.3. Nõmme Vaba Aja Keskus</t>
  </si>
  <si>
    <t>18.4. Nõmme Sotsiaalmaja</t>
  </si>
  <si>
    <t>17. Mustamäe Linnaosa Valitsuse haldusala</t>
  </si>
  <si>
    <t>17.1. Mustamäe Linnaosa Valitsus</t>
  </si>
  <si>
    <t>17.2. Mustamäe Kultuurikeskus Kaja</t>
  </si>
  <si>
    <t>17.3. Mustamäe Päevakeskus</t>
  </si>
  <si>
    <t>16. Lasnamäe Linnaosa Valitsuse haldusala</t>
  </si>
  <si>
    <t>16.1. Lasnamäe Linnaosa Valitsus</t>
  </si>
  <si>
    <t>16.2. Lasnamäe Spordikompleks</t>
  </si>
  <si>
    <t>16.3. Kultuurikeskus Lindakivi</t>
  </si>
  <si>
    <t>16.4. Lasnamäe Sotsiaalkeskus</t>
  </si>
  <si>
    <t>16.5. Lasnamäe Noortekeskus</t>
  </si>
  <si>
    <t>16.6. Lasnamäe Saun</t>
  </si>
  <si>
    <t>16.7. Lasnamäe Lastekeskus</t>
  </si>
  <si>
    <t>12. Munitsipaalpolitsei Amet</t>
  </si>
  <si>
    <t>12.1.  Tallinna Politseiorkester</t>
  </si>
  <si>
    <t>13. Haabersti Linnaosa Valitsuse haldusala</t>
  </si>
  <si>
    <t>13.1. Haabersti Linnaosa Valitsus</t>
  </si>
  <si>
    <t>13.2. Haabersti Vaba Aja Keskus</t>
  </si>
  <si>
    <t>13.3. Haabersti Päevakeskus</t>
  </si>
  <si>
    <t>14. Tallinna Kesklinna Valitsuse haldusala</t>
  </si>
  <si>
    <t>14.1. Tallinna Kesklinna Valitsus</t>
  </si>
  <si>
    <t>14.2. Tallinna Kesklinna Sotsiaalkeskus</t>
  </si>
  <si>
    <t>14.3. Raua Saun</t>
  </si>
  <si>
    <t>14.4. Kesklinna Vaba Aja Keskus</t>
  </si>
  <si>
    <t>15. Kristiine Linnaosa Valitsuse haldusala</t>
  </si>
  <si>
    <t>15.1. Kristiine Linnaosa Valitsus</t>
  </si>
  <si>
    <t>15.2. Kristiine Tegevuskeskus</t>
  </si>
  <si>
    <t>Struktuur</t>
  </si>
  <si>
    <t>Üld</t>
  </si>
  <si>
    <t>Kultuur ja muinsuskaitse</t>
  </si>
  <si>
    <t>INVESTEERIMISTEGEVUSE EELARVE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</si>
</sst>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kr&quot;_-;\-* #,##0.00\ &quot;kr&quot;_-;_-* &quot;-&quot;??\ &quot;kr&quot;_-;_-@_-"/>
    <numFmt numFmtId="165" formatCode="_-* #,##0.00\ _k_r_-;\-* #,##0.00\ _k_r_-;_-* &quot;-&quot;??\ _k_r_-;_-@_-"/>
    <numFmt numFmtId="166" formatCode="#,##0.0"/>
    <numFmt numFmtId="167" formatCode="_-* #,##0.00\ _k_r_-;\-* #,##0.00\ _k_r_-;_-* \-??\ _k_r_-;_-@_-"/>
    <numFmt numFmtId="168" formatCode="0.0%"/>
  </numFmts>
  <fonts count="128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Courier"/>
      <family val="1"/>
      <charset val="186"/>
    </font>
    <font>
      <b/>
      <sz val="11"/>
      <name val="Arial"/>
      <family val="2"/>
      <charset val="186"/>
    </font>
    <font>
      <b/>
      <i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  <charset val="186"/>
    </font>
    <font>
      <u/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sz val="8"/>
      <name val="Arial"/>
      <family val="2"/>
    </font>
    <font>
      <sz val="9"/>
      <name val="Arial"/>
      <family val="2"/>
      <charset val="186"/>
    </font>
    <font>
      <b/>
      <i/>
      <sz val="11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i/>
      <u/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Mangal"/>
      <family val="2"/>
    </font>
    <font>
      <u/>
      <sz val="8.5"/>
      <color indexed="12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rgb="FF0070C0"/>
      <name val="Arial"/>
      <family val="2"/>
      <charset val="186"/>
    </font>
    <font>
      <i/>
      <sz val="9"/>
      <color rgb="FF0070C0"/>
      <name val="Arial"/>
      <family val="2"/>
      <charset val="186"/>
    </font>
    <font>
      <i/>
      <sz val="8"/>
      <color rgb="FF0070C0"/>
      <name val="Arial"/>
      <family val="2"/>
      <charset val="186"/>
    </font>
    <font>
      <sz val="10"/>
      <name val="Arial"/>
      <family val="2"/>
      <charset val="186"/>
    </font>
    <font>
      <i/>
      <sz val="9"/>
      <name val="Arial"/>
      <family val="2"/>
    </font>
    <font>
      <i/>
      <sz val="10"/>
      <color rgb="FF0070C0"/>
      <name val="Arial"/>
      <family val="2"/>
      <charset val="186"/>
    </font>
    <font>
      <sz val="8"/>
      <color rgb="FF0070C0"/>
      <name val="Arial"/>
      <family val="2"/>
      <charset val="186"/>
    </font>
    <font>
      <sz val="10"/>
      <color indexed="17"/>
      <name val="Arial"/>
      <family val="2"/>
      <charset val="186"/>
    </font>
    <font>
      <sz val="10"/>
      <color rgb="FF00B0F0"/>
      <name val="Arial"/>
      <family val="2"/>
    </font>
    <font>
      <b/>
      <sz val="10"/>
      <color theme="1"/>
      <name val="Arial"/>
      <family val="2"/>
      <charset val="186"/>
    </font>
    <font>
      <i/>
      <sz val="8"/>
      <color rgb="FF0070C0"/>
      <name val="Arial"/>
      <family val="2"/>
    </font>
    <font>
      <b/>
      <sz val="8"/>
      <name val="Arial"/>
      <family val="2"/>
      <charset val="186"/>
    </font>
    <font>
      <u/>
      <sz val="8"/>
      <name val="Arial"/>
      <family val="2"/>
      <charset val="186"/>
    </font>
    <font>
      <sz val="8"/>
      <color theme="1"/>
      <name val="Arial"/>
      <family val="2"/>
      <charset val="186"/>
    </font>
    <font>
      <i/>
      <sz val="9"/>
      <color theme="1"/>
      <name val="Arial"/>
      <family val="2"/>
      <charset val="186"/>
    </font>
    <font>
      <i/>
      <sz val="8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8"/>
      <color rgb="FF000000"/>
      <name val="Arial"/>
      <family val="2"/>
      <charset val="186"/>
    </font>
    <font>
      <i/>
      <sz val="9"/>
      <color rgb="FF00B0F0"/>
      <name val="Arial"/>
      <family val="2"/>
      <charset val="186"/>
    </font>
    <font>
      <i/>
      <sz val="8"/>
      <color rgb="FF00B0F0"/>
      <name val="Arial"/>
      <family val="2"/>
      <charset val="186"/>
    </font>
    <font>
      <i/>
      <sz val="10"/>
      <color rgb="FF0070C0"/>
      <name val="Arial"/>
      <family val="2"/>
    </font>
    <font>
      <b/>
      <sz val="10"/>
      <name val="Times New Roman"/>
      <family val="1"/>
      <charset val="186"/>
    </font>
    <font>
      <i/>
      <sz val="8"/>
      <color rgb="FFFF0000"/>
      <name val="Arial"/>
      <family val="2"/>
      <charset val="186"/>
    </font>
    <font>
      <i/>
      <u/>
      <sz val="10"/>
      <name val="Arial"/>
      <family val="2"/>
      <charset val="186"/>
    </font>
    <font>
      <u/>
      <sz val="10"/>
      <color rgb="FFFF0000"/>
      <name val="Arial"/>
      <family val="2"/>
      <charset val="186"/>
    </font>
    <font>
      <i/>
      <sz val="9"/>
      <color rgb="FFFF0000"/>
      <name val="Arial"/>
      <family val="2"/>
      <charset val="186"/>
    </font>
    <font>
      <u/>
      <sz val="10"/>
      <color theme="1"/>
      <name val="Arial"/>
      <family val="2"/>
      <charset val="186"/>
    </font>
    <font>
      <u/>
      <sz val="10"/>
      <color rgb="FF0070C0"/>
      <name val="Arial"/>
      <family val="2"/>
      <charset val="186"/>
    </font>
    <font>
      <sz val="9"/>
      <color rgb="FF0070C0"/>
      <name val="Arial"/>
      <family val="2"/>
      <charset val="186"/>
    </font>
    <font>
      <b/>
      <sz val="12"/>
      <color theme="0"/>
      <name val="Arial"/>
      <family val="2"/>
      <charset val="186"/>
    </font>
    <font>
      <u/>
      <sz val="10"/>
      <color theme="0"/>
      <name val="Arial"/>
      <family val="2"/>
      <charset val="186"/>
    </font>
    <font>
      <i/>
      <sz val="9"/>
      <color theme="4"/>
      <name val="Arial"/>
      <family val="2"/>
      <charset val="186"/>
    </font>
    <font>
      <sz val="8"/>
      <color theme="4"/>
      <name val="Arial"/>
      <family val="2"/>
      <charset val="186"/>
    </font>
    <font>
      <sz val="10"/>
      <color theme="4"/>
      <name val="Arial"/>
      <family val="2"/>
      <charset val="186"/>
    </font>
    <font>
      <i/>
      <sz val="10"/>
      <color theme="4"/>
      <name val="Arial"/>
      <family val="2"/>
      <charset val="186"/>
    </font>
    <font>
      <sz val="10"/>
      <color theme="0"/>
      <name val="Arial"/>
      <family val="2"/>
      <charset val="186"/>
    </font>
    <font>
      <b/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i/>
      <sz val="10"/>
      <color theme="0"/>
      <name val="Arial"/>
      <family val="2"/>
      <charset val="186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8"/>
      <color rgb="FF00B0F0"/>
      <name val="Arial"/>
      <family val="2"/>
      <charset val="186"/>
    </font>
    <font>
      <sz val="9"/>
      <color theme="0"/>
      <name val="Arial"/>
      <family val="2"/>
      <charset val="186"/>
    </font>
    <font>
      <u/>
      <sz val="10"/>
      <color rgb="FF00B0F0"/>
      <name val="Arial"/>
      <family val="2"/>
      <charset val="186"/>
    </font>
    <font>
      <vertAlign val="superscript"/>
      <sz val="10"/>
      <name val="Arial"/>
      <family val="2"/>
      <charset val="186"/>
    </font>
    <font>
      <i/>
      <vertAlign val="superscript"/>
      <sz val="9"/>
      <name val="Arial"/>
      <family val="2"/>
      <charset val="186"/>
    </font>
    <font>
      <b/>
      <sz val="10"/>
      <name val="Calibri"/>
      <family val="2"/>
      <charset val="186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9" fillId="0" borderId="0"/>
    <xf numFmtId="0" fontId="49" fillId="0" borderId="0"/>
    <xf numFmtId="0" fontId="50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/>
    <xf numFmtId="0" fontId="56" fillId="4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14" fillId="0" borderId="0" applyFont="0" applyFill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14" fillId="0" borderId="0"/>
    <xf numFmtId="0" fontId="14" fillId="0" borderId="0"/>
    <xf numFmtId="0" fontId="14" fillId="23" borderId="7" applyNumberFormat="0" applyFont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62" fillId="3" borderId="0" applyNumberFormat="0" applyBorder="0" applyAlignment="0" applyProtection="0"/>
    <xf numFmtId="0" fontId="63" fillId="20" borderId="1" applyNumberFormat="0" applyAlignment="0" applyProtection="0"/>
    <xf numFmtId="0" fontId="64" fillId="21" borderId="2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4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56" fillId="4" borderId="0" applyNumberFormat="0" applyBorder="0" applyAlignment="0" applyProtection="0"/>
    <xf numFmtId="0" fontId="56" fillId="24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69" fillId="7" borderId="1" applyNumberFormat="0" applyAlignment="0" applyProtection="0"/>
    <xf numFmtId="0" fontId="70" fillId="0" borderId="6" applyNumberFormat="0" applyFill="0" applyAlignment="0" applyProtection="0"/>
    <xf numFmtId="0" fontId="71" fillId="22" borderId="0" applyNumberFormat="0" applyBorder="0" applyAlignment="0" applyProtection="0"/>
    <xf numFmtId="0" fontId="14" fillId="0" borderId="0"/>
    <xf numFmtId="0" fontId="14" fillId="0" borderId="0"/>
    <xf numFmtId="0" fontId="59" fillId="0" borderId="0"/>
    <xf numFmtId="0" fontId="59" fillId="0" borderId="0"/>
    <xf numFmtId="0" fontId="14" fillId="0" borderId="0"/>
    <xf numFmtId="0" fontId="1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4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7" fillId="0" borderId="0"/>
    <xf numFmtId="0" fontId="59" fillId="0" borderId="0"/>
    <xf numFmtId="0" fontId="59" fillId="0" borderId="0"/>
    <xf numFmtId="0" fontId="59" fillId="0" borderId="0"/>
    <xf numFmtId="0" fontId="14" fillId="0" borderId="0"/>
    <xf numFmtId="0" fontId="60" fillId="23" borderId="7" applyNumberFormat="0" applyFont="0" applyAlignment="0" applyProtection="0"/>
    <xf numFmtId="0" fontId="72" fillId="20" borderId="8" applyNumberFormat="0" applyAlignment="0" applyProtection="0"/>
    <xf numFmtId="9" fontId="14" fillId="0" borderId="0" applyFont="0" applyFill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3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4" fillId="23" borderId="7" applyNumberFormat="0" applyFont="0" applyAlignment="0" applyProtection="0"/>
    <xf numFmtId="0" fontId="59" fillId="0" borderId="0"/>
    <xf numFmtId="0" fontId="13" fillId="0" borderId="0"/>
    <xf numFmtId="0" fontId="14" fillId="0" borderId="0"/>
    <xf numFmtId="0" fontId="14" fillId="0" borderId="0"/>
    <xf numFmtId="9" fontId="82" fillId="0" borderId="0" applyFont="0" applyFill="0" applyBorder="0" applyAlignment="0" applyProtection="0"/>
    <xf numFmtId="0" fontId="14" fillId="0" borderId="0"/>
    <xf numFmtId="0" fontId="12" fillId="0" borderId="0"/>
    <xf numFmtId="0" fontId="14" fillId="0" borderId="0"/>
    <xf numFmtId="0" fontId="11" fillId="0" borderId="0"/>
    <xf numFmtId="0" fontId="10" fillId="0" borderId="0"/>
    <xf numFmtId="0" fontId="9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86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4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56" fillId="4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4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50" fillId="0" borderId="0"/>
    <xf numFmtId="0" fontId="5" fillId="0" borderId="0"/>
    <xf numFmtId="0" fontId="4" fillId="0" borderId="0"/>
    <xf numFmtId="4" fontId="88" fillId="0" borderId="14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18" fillId="31" borderId="0" applyNumberFormat="0" applyBorder="0" applyAlignment="0" applyProtection="0"/>
    <xf numFmtId="0" fontId="119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004">
    <xf numFmtId="0" fontId="0" fillId="0" borderId="0" xfId="0"/>
    <xf numFmtId="0" fontId="34" fillId="0" borderId="0" xfId="0" applyFont="1" applyFill="1" applyBorder="1"/>
    <xf numFmtId="0" fontId="28" fillId="0" borderId="0" xfId="0" applyFont="1" applyFill="1" applyBorder="1"/>
    <xf numFmtId="0" fontId="35" fillId="0" borderId="0" xfId="0" applyFont="1" applyFill="1"/>
    <xf numFmtId="0" fontId="14" fillId="0" borderId="0" xfId="0" applyFont="1" applyFill="1" applyBorder="1" applyAlignment="1">
      <alignment horizontal="left" vertical="top"/>
    </xf>
    <xf numFmtId="3" fontId="36" fillId="0" borderId="0" xfId="0" applyNumberFormat="1" applyFont="1" applyFill="1" applyAlignment="1">
      <alignment vertical="top"/>
    </xf>
    <xf numFmtId="0" fontId="14" fillId="0" borderId="0" xfId="0" applyFont="1" applyFill="1"/>
    <xf numFmtId="3" fontId="35" fillId="0" borderId="0" xfId="0" applyNumberFormat="1" applyFont="1" applyFill="1" applyBorder="1"/>
    <xf numFmtId="0" fontId="14" fillId="0" borderId="0" xfId="0" applyFont="1" applyFill="1" applyAlignment="1">
      <alignment horizontal="left" indent="2"/>
    </xf>
    <xf numFmtId="0" fontId="14" fillId="0" borderId="0" xfId="0" applyFont="1" applyFill="1" applyBorder="1" applyAlignment="1">
      <alignment horizontal="left" indent="2"/>
    </xf>
    <xf numFmtId="3" fontId="14" fillId="0" borderId="0" xfId="0" applyNumberFormat="1" applyFont="1" applyFill="1" applyAlignment="1"/>
    <xf numFmtId="3" fontId="35" fillId="0" borderId="0" xfId="0" applyNumberFormat="1" applyFont="1" applyFill="1" applyAlignment="1"/>
    <xf numFmtId="0" fontId="0" fillId="0" borderId="0" xfId="0" applyFill="1"/>
    <xf numFmtId="0" fontId="40" fillId="0" borderId="0" xfId="0" applyFont="1" applyFill="1"/>
    <xf numFmtId="14" fontId="35" fillId="0" borderId="0" xfId="0" applyNumberFormat="1" applyFont="1" applyFill="1" applyAlignment="1">
      <alignment horizontal="left"/>
    </xf>
    <xf numFmtId="0" fontId="28" fillId="0" borderId="0" xfId="0" applyFont="1"/>
    <xf numFmtId="9" fontId="14" fillId="0" borderId="0" xfId="0" applyNumberFormat="1" applyFont="1"/>
    <xf numFmtId="0" fontId="14" fillId="0" borderId="0" xfId="0" applyFont="1"/>
    <xf numFmtId="9" fontId="38" fillId="0" borderId="0" xfId="0" applyNumberFormat="1" applyFont="1"/>
    <xf numFmtId="0" fontId="40" fillId="0" borderId="0" xfId="0" applyFont="1"/>
    <xf numFmtId="0" fontId="0" fillId="0" borderId="0" xfId="0" applyAlignment="1">
      <alignment horizontal="right"/>
    </xf>
    <xf numFmtId="0" fontId="35" fillId="0" borderId="0" xfId="0" applyFont="1" applyFill="1" applyBorder="1" applyAlignment="1">
      <alignment vertical="top"/>
    </xf>
    <xf numFmtId="0" fontId="35" fillId="0" borderId="0" xfId="0" applyFont="1" applyFill="1" applyBorder="1" applyAlignment="1">
      <alignment horizontal="center" vertical="top"/>
    </xf>
    <xf numFmtId="0" fontId="35" fillId="0" borderId="0" xfId="0" applyFont="1" applyFill="1" applyBorder="1"/>
    <xf numFmtId="3" fontId="28" fillId="0" borderId="0" xfId="0" applyNumberFormat="1" applyFont="1" applyFill="1" applyBorder="1"/>
    <xf numFmtId="3" fontId="35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 indent="1"/>
    </xf>
    <xf numFmtId="3" fontId="28" fillId="0" borderId="0" xfId="0" applyNumberFormat="1" applyFont="1" applyFill="1" applyBorder="1" applyAlignment="1">
      <alignment horizontal="left" indent="1"/>
    </xf>
    <xf numFmtId="3" fontId="28" fillId="0" borderId="0" xfId="0" applyNumberFormat="1" applyFont="1" applyFill="1" applyBorder="1" applyAlignment="1">
      <alignment horizontal="left"/>
    </xf>
    <xf numFmtId="0" fontId="28" fillId="0" borderId="0" xfId="0" quotePrefix="1" applyFont="1" applyFill="1" applyBorder="1"/>
    <xf numFmtId="3" fontId="28" fillId="0" borderId="0" xfId="0" quotePrefix="1" applyNumberFormat="1" applyFont="1" applyFill="1" applyBorder="1"/>
    <xf numFmtId="2" fontId="36" fillId="0" borderId="0" xfId="0" applyNumberFormat="1" applyFont="1" applyFill="1" applyBorder="1" applyAlignment="1">
      <alignment horizontal="left" indent="2"/>
    </xf>
    <xf numFmtId="3" fontId="36" fillId="0" borderId="0" xfId="0" applyNumberFormat="1" applyFont="1" applyFill="1" applyBorder="1" applyAlignment="1">
      <alignment horizontal="left" indent="2"/>
    </xf>
    <xf numFmtId="3" fontId="35" fillId="0" borderId="0" xfId="0" applyNumberFormat="1" applyFont="1" applyFill="1"/>
    <xf numFmtId="0" fontId="35" fillId="0" borderId="0" xfId="0" applyFont="1" applyFill="1" applyBorder="1" applyAlignment="1">
      <alignment wrapText="1"/>
    </xf>
    <xf numFmtId="0" fontId="40" fillId="0" borderId="0" xfId="0" applyFont="1" applyFill="1" applyBorder="1"/>
    <xf numFmtId="0" fontId="14" fillId="0" borderId="0" xfId="0" applyFont="1" applyFill="1" applyBorder="1"/>
    <xf numFmtId="0" fontId="47" fillId="0" borderId="0" xfId="0" applyFont="1" applyFill="1" applyBorder="1"/>
    <xf numFmtId="0" fontId="28" fillId="0" borderId="0" xfId="0" applyFont="1" applyFill="1" applyBorder="1" applyAlignment="1">
      <alignment horizontal="left" indent="2"/>
    </xf>
    <xf numFmtId="0" fontId="36" fillId="0" borderId="0" xfId="36" applyNumberFormat="1" applyFont="1" applyFill="1" applyBorder="1" applyAlignment="1" applyProtection="1">
      <alignment horizontal="left" indent="2"/>
    </xf>
    <xf numFmtId="3" fontId="35" fillId="0" borderId="0" xfId="0" applyNumberFormat="1" applyFont="1"/>
    <xf numFmtId="0" fontId="34" fillId="0" borderId="0" xfId="0" applyFont="1" applyFill="1" applyBorder="1" applyAlignment="1">
      <alignment horizontal="left"/>
    </xf>
    <xf numFmtId="0" fontId="35" fillId="0" borderId="0" xfId="0" applyFont="1"/>
    <xf numFmtId="166" fontId="0" fillId="0" borderId="0" xfId="0" applyNumberFormat="1"/>
    <xf numFmtId="0" fontId="38" fillId="0" borderId="0" xfId="0" applyFont="1"/>
    <xf numFmtId="0" fontId="14" fillId="0" borderId="0" xfId="0" applyFont="1" applyAlignment="1">
      <alignment horizontal="left" indent="3"/>
    </xf>
    <xf numFmtId="3" fontId="14" fillId="0" borderId="0" xfId="0" applyNumberFormat="1" applyFont="1"/>
    <xf numFmtId="0" fontId="14" fillId="0" borderId="0" xfId="0" applyFont="1" applyAlignment="1">
      <alignment horizontal="left" indent="5"/>
    </xf>
    <xf numFmtId="0" fontId="0" fillId="0" borderId="0" xfId="0" applyAlignment="1">
      <alignment horizontal="left" indent="3"/>
    </xf>
    <xf numFmtId="3" fontId="41" fillId="0" borderId="0" xfId="0" applyNumberFormat="1" applyFont="1" applyFill="1" applyAlignment="1">
      <alignment vertical="top"/>
    </xf>
    <xf numFmtId="0" fontId="54" fillId="0" borderId="0" xfId="0" applyFont="1" applyFill="1" applyBorder="1"/>
    <xf numFmtId="0" fontId="35" fillId="0" borderId="0" xfId="0" applyFont="1" applyFill="1" applyBorder="1" applyAlignment="1">
      <alignment horizontal="left" indent="2"/>
    </xf>
    <xf numFmtId="0" fontId="28" fillId="0" borderId="0" xfId="0" applyFont="1" applyFill="1" applyBorder="1" applyAlignment="1">
      <alignment horizontal="left" indent="3"/>
    </xf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0" fontId="0" fillId="0" borderId="0" xfId="0"/>
    <xf numFmtId="0" fontId="34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Fill="1"/>
    <xf numFmtId="0" fontId="53" fillId="0" borderId="0" xfId="0" applyFont="1" applyFill="1" applyBorder="1" applyAlignment="1">
      <alignment wrapText="1"/>
    </xf>
    <xf numFmtId="3" fontId="0" fillId="0" borderId="0" xfId="0" applyNumberFormat="1" applyFill="1"/>
    <xf numFmtId="3" fontId="14" fillId="0" borderId="0" xfId="0" applyNumberFormat="1" applyFont="1" applyFill="1"/>
    <xf numFmtId="3" fontId="0" fillId="0" borderId="0" xfId="0" applyNumberFormat="1" applyBorder="1"/>
    <xf numFmtId="0" fontId="14" fillId="0" borderId="0" xfId="0" applyFont="1" applyFill="1" applyBorder="1" applyAlignment="1">
      <alignment horizontal="left" indent="1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 applyProtection="1">
      <alignment horizontal="left" vertical="top" wrapText="1" indent="4"/>
      <protection locked="0"/>
    </xf>
    <xf numFmtId="0" fontId="14" fillId="0" borderId="0" xfId="0" applyFont="1" applyFill="1" applyBorder="1" applyAlignment="1">
      <alignment horizontal="left" indent="3"/>
    </xf>
    <xf numFmtId="0" fontId="48" fillId="0" borderId="0" xfId="0" applyFont="1" applyFill="1" applyBorder="1" applyAlignment="1">
      <alignment horizontal="left" vertical="top" indent="3"/>
    </xf>
    <xf numFmtId="0" fontId="46" fillId="0" borderId="0" xfId="0" applyFont="1" applyFill="1"/>
    <xf numFmtId="3" fontId="48" fillId="0" borderId="0" xfId="0" applyNumberFormat="1" applyFont="1" applyFill="1" applyBorder="1" applyAlignment="1">
      <alignment vertical="top"/>
    </xf>
    <xf numFmtId="3" fontId="47" fillId="0" borderId="0" xfId="0" applyNumberFormat="1" applyFont="1" applyFill="1"/>
    <xf numFmtId="0" fontId="14" fillId="0" borderId="0" xfId="0" applyFont="1" applyFill="1" applyAlignment="1">
      <alignment horizontal="left"/>
    </xf>
    <xf numFmtId="3" fontId="76" fillId="0" borderId="0" xfId="0" applyNumberFormat="1" applyFont="1"/>
    <xf numFmtId="0" fontId="35" fillId="0" borderId="0" xfId="0" applyFont="1" applyBorder="1"/>
    <xf numFmtId="3" fontId="78" fillId="0" borderId="0" xfId="0" applyNumberFormat="1" applyFont="1"/>
    <xf numFmtId="0" fontId="47" fillId="0" borderId="0" xfId="43" applyFont="1" applyFill="1" applyBorder="1" applyAlignment="1">
      <alignment horizontal="left" vertical="top"/>
    </xf>
    <xf numFmtId="0" fontId="48" fillId="0" borderId="0" xfId="43" applyFont="1" applyFill="1" applyBorder="1" applyAlignment="1">
      <alignment horizontal="left" vertical="top" indent="3"/>
    </xf>
    <xf numFmtId="0" fontId="46" fillId="0" borderId="0" xfId="43" applyFont="1" applyFill="1" applyBorder="1" applyAlignment="1">
      <alignment horizontal="left" vertical="top"/>
    </xf>
    <xf numFmtId="0" fontId="48" fillId="0" borderId="0" xfId="43" applyFont="1" applyFill="1" applyBorder="1" applyAlignment="1">
      <alignment horizontal="left" vertical="top" wrapText="1" indent="3"/>
    </xf>
    <xf numFmtId="0" fontId="58" fillId="0" borderId="0" xfId="43" applyFont="1" applyFill="1" applyBorder="1" applyAlignment="1">
      <alignment horizontal="left" vertical="top"/>
    </xf>
    <xf numFmtId="0" fontId="47" fillId="0" borderId="0" xfId="43" applyFont="1" applyFill="1" applyBorder="1" applyAlignment="1">
      <alignment horizontal="left" vertical="top" wrapText="1"/>
    </xf>
    <xf numFmtId="0" fontId="47" fillId="0" borderId="0" xfId="43" applyFont="1" applyFill="1" applyAlignment="1">
      <alignment horizontal="left"/>
    </xf>
    <xf numFmtId="0" fontId="47" fillId="0" borderId="0" xfId="43" applyFont="1" applyFill="1" applyAlignment="1">
      <alignment horizontal="left" vertical="top"/>
    </xf>
    <xf numFmtId="0" fontId="58" fillId="0" borderId="0" xfId="43" applyFont="1" applyFill="1" applyBorder="1" applyAlignment="1">
      <alignment horizontal="left" vertical="top" wrapText="1"/>
    </xf>
    <xf numFmtId="2" fontId="48" fillId="0" borderId="0" xfId="43" applyNumberFormat="1" applyFont="1" applyFill="1" applyBorder="1" applyAlignment="1">
      <alignment horizontal="left" vertical="top" wrapText="1" indent="3"/>
    </xf>
    <xf numFmtId="0" fontId="52" fillId="0" borderId="0" xfId="43" applyFont="1" applyFill="1" applyBorder="1" applyAlignment="1">
      <alignment horizontal="right"/>
    </xf>
    <xf numFmtId="3" fontId="46" fillId="0" borderId="0" xfId="43" applyNumberFormat="1" applyFont="1" applyFill="1" applyBorder="1" applyAlignment="1">
      <alignment vertical="top"/>
    </xf>
    <xf numFmtId="3" fontId="47" fillId="0" borderId="0" xfId="43" applyNumberFormat="1" applyFont="1" applyFill="1" applyBorder="1" applyAlignment="1">
      <alignment vertical="top"/>
    </xf>
    <xf numFmtId="3" fontId="48" fillId="0" borderId="0" xfId="43" applyNumberFormat="1" applyFont="1" applyFill="1" applyBorder="1" applyAlignment="1">
      <alignment vertical="top" wrapText="1"/>
    </xf>
    <xf numFmtId="3" fontId="48" fillId="0" borderId="0" xfId="43" applyNumberFormat="1" applyFont="1" applyFill="1" applyBorder="1" applyAlignment="1">
      <alignment vertical="top"/>
    </xf>
    <xf numFmtId="3" fontId="47" fillId="0" borderId="0" xfId="43" applyNumberFormat="1" applyFont="1" applyFill="1" applyBorder="1" applyAlignment="1">
      <alignment vertical="top" wrapText="1"/>
    </xf>
    <xf numFmtId="3" fontId="47" fillId="0" borderId="0" xfId="43" applyNumberFormat="1" applyFont="1" applyFill="1" applyAlignment="1">
      <alignment vertical="top"/>
    </xf>
    <xf numFmtId="3" fontId="58" fillId="0" borderId="0" xfId="43" applyNumberFormat="1" applyFont="1" applyFill="1" applyBorder="1" applyAlignment="1">
      <alignment vertical="top" wrapText="1"/>
    </xf>
    <xf numFmtId="3" fontId="58" fillId="0" borderId="0" xfId="43" applyNumberFormat="1" applyFont="1" applyFill="1" applyBorder="1" applyAlignment="1">
      <alignment vertical="top"/>
    </xf>
    <xf numFmtId="0" fontId="36" fillId="0" borderId="0" xfId="36" applyNumberFormat="1" applyFont="1" applyFill="1" applyBorder="1" applyAlignment="1" applyProtection="1">
      <alignment horizontal="left" vertical="top" indent="2"/>
    </xf>
    <xf numFmtId="3" fontId="35" fillId="0" borderId="0" xfId="148" applyNumberFormat="1" applyFont="1"/>
    <xf numFmtId="3" fontId="14" fillId="0" borderId="0" xfId="148" applyNumberFormat="1" applyFont="1"/>
    <xf numFmtId="0" fontId="51" fillId="0" borderId="0" xfId="36" applyNumberFormat="1" applyFont="1" applyFill="1" applyBorder="1" applyAlignment="1" applyProtection="1">
      <alignment horizontal="left" vertical="top" indent="2"/>
    </xf>
    <xf numFmtId="0" fontId="40" fillId="0" borderId="0" xfId="36" applyNumberFormat="1" applyFont="1" applyFill="1" applyBorder="1" applyAlignment="1" applyProtection="1">
      <alignment horizontal="left" vertical="top"/>
    </xf>
    <xf numFmtId="0" fontId="35" fillId="0" borderId="0" xfId="36" applyNumberFormat="1" applyFont="1" applyFill="1" applyBorder="1" applyAlignment="1" applyProtection="1">
      <alignment horizontal="left" vertical="top"/>
    </xf>
    <xf numFmtId="0" fontId="36" fillId="0" borderId="0" xfId="36" applyFont="1" applyFill="1" applyBorder="1" applyAlignment="1" applyProtection="1">
      <alignment horizontal="left" vertical="top" indent="1"/>
    </xf>
    <xf numFmtId="0" fontId="36" fillId="0" borderId="0" xfId="36" applyNumberFormat="1" applyFont="1" applyFill="1" applyBorder="1" applyAlignment="1" applyProtection="1">
      <alignment horizontal="left" vertical="top" indent="1"/>
    </xf>
    <xf numFmtId="0" fontId="51" fillId="0" borderId="0" xfId="36" applyNumberFormat="1" applyFont="1" applyFill="1" applyBorder="1" applyAlignment="1" applyProtection="1">
      <alignment horizontal="left" vertical="top" indent="3"/>
    </xf>
    <xf numFmtId="0" fontId="44" fillId="0" borderId="0" xfId="37" applyNumberFormat="1" applyFont="1" applyFill="1" applyBorder="1" applyAlignment="1">
      <alignment horizontal="left" vertical="top"/>
    </xf>
    <xf numFmtId="0" fontId="35" fillId="0" borderId="0" xfId="0" applyNumberFormat="1" applyFont="1" applyFill="1" applyAlignment="1">
      <alignment horizontal="left" vertical="top" indent="2"/>
    </xf>
    <xf numFmtId="0" fontId="14" fillId="0" borderId="0" xfId="31" applyNumberFormat="1" applyFont="1" applyFill="1" applyBorder="1" applyAlignment="1" applyProtection="1">
      <alignment horizontal="left" vertical="top" wrapText="1" indent="2"/>
    </xf>
    <xf numFmtId="0" fontId="35" fillId="0" borderId="0" xfId="36" applyNumberFormat="1" applyFont="1" applyFill="1" applyBorder="1" applyAlignment="1">
      <alignment horizontal="left" vertical="top"/>
    </xf>
    <xf numFmtId="0" fontId="14" fillId="0" borderId="0" xfId="0" applyNumberFormat="1" applyFont="1" applyFill="1" applyAlignment="1">
      <alignment horizontal="left" vertical="top"/>
    </xf>
    <xf numFmtId="0" fontId="36" fillId="0" borderId="0" xfId="0" applyNumberFormat="1" applyFont="1" applyFill="1" applyAlignment="1">
      <alignment horizontal="left" indent="1"/>
    </xf>
    <xf numFmtId="49" fontId="45" fillId="0" borderId="0" xfId="0" quotePrefix="1" applyNumberFormat="1" applyFont="1" applyFill="1" applyAlignment="1">
      <alignment horizontal="left" indent="1"/>
    </xf>
    <xf numFmtId="0" fontId="33" fillId="0" borderId="0" xfId="36" applyNumberFormat="1" applyFont="1" applyFill="1" applyBorder="1" applyAlignment="1" applyProtection="1">
      <alignment horizontal="left" vertical="top" wrapText="1" indent="2"/>
    </xf>
    <xf numFmtId="0" fontId="42" fillId="0" borderId="0" xfId="36" applyNumberFormat="1" applyFont="1" applyFill="1" applyBorder="1" applyAlignment="1" applyProtection="1">
      <alignment horizontal="left" vertical="top" indent="1"/>
    </xf>
    <xf numFmtId="49" fontId="45" fillId="0" borderId="0" xfId="0" quotePrefix="1" applyNumberFormat="1" applyFont="1" applyFill="1" applyAlignment="1">
      <alignment horizontal="left" wrapText="1" indent="1"/>
    </xf>
    <xf numFmtId="0" fontId="43" fillId="0" borderId="0" xfId="36" applyNumberFormat="1" applyFont="1" applyFill="1" applyBorder="1" applyAlignment="1">
      <alignment horizontal="left" vertical="top"/>
    </xf>
    <xf numFmtId="0" fontId="44" fillId="0" borderId="0" xfId="37" applyNumberFormat="1" applyFont="1" applyFill="1" applyBorder="1" applyAlignment="1">
      <alignment horizontal="left" vertical="top" wrapText="1"/>
    </xf>
    <xf numFmtId="0" fontId="33" fillId="0" borderId="0" xfId="36" applyNumberFormat="1" applyFont="1" applyFill="1" applyBorder="1" applyAlignment="1">
      <alignment horizontal="left" vertical="top" wrapText="1" indent="2"/>
    </xf>
    <xf numFmtId="0" fontId="35" fillId="0" borderId="0" xfId="37" applyNumberFormat="1" applyFont="1" applyFill="1" applyBorder="1" applyAlignment="1">
      <alignment horizontal="left" vertical="top" wrapText="1"/>
    </xf>
    <xf numFmtId="3" fontId="35" fillId="0" borderId="0" xfId="0" applyNumberFormat="1" applyFont="1" applyFill="1" applyAlignment="1">
      <alignment vertical="top"/>
    </xf>
    <xf numFmtId="3" fontId="79" fillId="0" borderId="0" xfId="36" applyNumberFormat="1" applyFont="1" applyFill="1" applyBorder="1" applyAlignment="1" applyProtection="1">
      <alignment vertical="top"/>
    </xf>
    <xf numFmtId="3" fontId="14" fillId="0" borderId="0" xfId="0" applyNumberFormat="1" applyFont="1" applyFill="1" applyBorder="1" applyAlignment="1"/>
    <xf numFmtId="0" fontId="36" fillId="0" borderId="0" xfId="0" applyFont="1" applyAlignment="1">
      <alignment horizontal="left" indent="7"/>
    </xf>
    <xf numFmtId="0" fontId="46" fillId="0" borderId="0" xfId="0" applyFont="1"/>
    <xf numFmtId="0" fontId="83" fillId="0" borderId="0" xfId="43" applyFont="1" applyFill="1" applyBorder="1" applyAlignment="1">
      <alignment horizontal="left" vertical="top" indent="3"/>
    </xf>
    <xf numFmtId="0" fontId="47" fillId="0" borderId="0" xfId="43" applyFont="1" applyFill="1" applyBorder="1"/>
    <xf numFmtId="3" fontId="83" fillId="0" borderId="0" xfId="43" applyNumberFormat="1" applyFont="1" applyFill="1" applyBorder="1" applyAlignment="1">
      <alignment vertical="top"/>
    </xf>
    <xf numFmtId="3" fontId="36" fillId="0" borderId="0" xfId="148" applyNumberFormat="1" applyFont="1" applyFill="1" applyBorder="1" applyAlignment="1">
      <alignment vertical="top"/>
    </xf>
    <xf numFmtId="0" fontId="47" fillId="0" borderId="0" xfId="43" applyFont="1" applyFill="1" applyBorder="1" applyAlignment="1">
      <alignment horizontal="left"/>
    </xf>
    <xf numFmtId="0" fontId="47" fillId="0" borderId="0" xfId="148" applyFont="1" applyFill="1" applyBorder="1" applyAlignment="1">
      <alignment horizontal="left" vertical="top"/>
    </xf>
    <xf numFmtId="0" fontId="48" fillId="0" borderId="0" xfId="148" applyFont="1" applyFill="1" applyBorder="1" applyAlignment="1">
      <alignment horizontal="left" vertical="top" wrapText="1" indent="3"/>
    </xf>
    <xf numFmtId="16" fontId="47" fillId="0" borderId="0" xfId="43" applyNumberFormat="1" applyFont="1" applyFill="1" applyBorder="1" applyAlignment="1">
      <alignment horizontal="left" vertical="top"/>
    </xf>
    <xf numFmtId="3" fontId="35" fillId="0" borderId="0" xfId="0" applyNumberFormat="1" applyFont="1" applyFill="1" applyBorder="1" applyAlignment="1">
      <alignment vertical="top" wrapText="1"/>
    </xf>
    <xf numFmtId="0" fontId="36" fillId="0" borderId="0" xfId="0" applyFont="1" applyFill="1"/>
    <xf numFmtId="168" fontId="0" fillId="0" borderId="0" xfId="150" applyNumberFormat="1" applyFont="1"/>
    <xf numFmtId="3" fontId="47" fillId="0" borderId="0" xfId="148" applyNumberFormat="1" applyFont="1" applyFill="1" applyBorder="1" applyAlignment="1">
      <alignment vertical="top"/>
    </xf>
    <xf numFmtId="3" fontId="48" fillId="0" borderId="0" xfId="148" applyNumberFormat="1" applyFont="1" applyFill="1" applyBorder="1" applyAlignment="1">
      <alignment vertical="top" wrapText="1"/>
    </xf>
    <xf numFmtId="0" fontId="28" fillId="0" borderId="0" xfId="0" applyFont="1" applyBorder="1"/>
    <xf numFmtId="3" fontId="84" fillId="0" borderId="0" xfId="36" applyNumberFormat="1" applyFont="1" applyFill="1" applyBorder="1" applyAlignment="1" applyProtection="1">
      <alignment vertical="top" wrapText="1"/>
    </xf>
    <xf numFmtId="3" fontId="84" fillId="0" borderId="0" xfId="36" applyNumberFormat="1" applyFont="1" applyFill="1" applyBorder="1" applyAlignment="1" applyProtection="1">
      <alignment vertical="top"/>
    </xf>
    <xf numFmtId="0" fontId="53" fillId="0" borderId="0" xfId="151" applyFont="1" applyFill="1" applyBorder="1" applyAlignment="1" applyProtection="1">
      <alignment horizontal="left" vertical="top" wrapText="1"/>
      <protection locked="0"/>
    </xf>
    <xf numFmtId="3" fontId="41" fillId="0" borderId="0" xfId="36" applyNumberFormat="1" applyFont="1" applyFill="1" applyBorder="1" applyAlignment="1" applyProtection="1">
      <alignment vertical="top"/>
    </xf>
    <xf numFmtId="3" fontId="43" fillId="0" borderId="0" xfId="36" applyNumberFormat="1" applyFont="1" applyFill="1" applyBorder="1" applyAlignment="1"/>
    <xf numFmtId="3" fontId="36" fillId="0" borderId="0" xfId="36" applyNumberFormat="1" applyFont="1" applyFill="1" applyBorder="1" applyAlignment="1" applyProtection="1"/>
    <xf numFmtId="3" fontId="53" fillId="0" borderId="0" xfId="151" applyNumberFormat="1" applyFont="1" applyFill="1" applyBorder="1" applyAlignment="1">
      <alignment horizontal="right"/>
    </xf>
    <xf numFmtId="3" fontId="14" fillId="0" borderId="0" xfId="43" applyNumberFormat="1" applyFont="1" applyFill="1" applyBorder="1" applyAlignment="1" applyProtection="1">
      <alignment horizontal="right" vertical="top"/>
      <protection locked="0"/>
    </xf>
    <xf numFmtId="3" fontId="51" fillId="0" borderId="0" xfId="36" applyNumberFormat="1" applyFont="1" applyFill="1" applyBorder="1" applyAlignment="1" applyProtection="1">
      <alignment vertical="top"/>
    </xf>
    <xf numFmtId="3" fontId="14" fillId="0" borderId="0" xfId="0" applyNumberFormat="1" applyFont="1" applyFill="1" applyBorder="1" applyAlignment="1">
      <alignment vertical="top"/>
    </xf>
    <xf numFmtId="3" fontId="33" fillId="0" borderId="0" xfId="0" applyNumberFormat="1" applyFont="1" applyFill="1" applyAlignment="1">
      <alignment vertical="top"/>
    </xf>
    <xf numFmtId="0" fontId="45" fillId="0" borderId="0" xfId="0" applyNumberFormat="1" applyFont="1" applyFill="1" applyAlignment="1">
      <alignment horizontal="left" vertical="top" indent="1"/>
    </xf>
    <xf numFmtId="0" fontId="33" fillId="0" borderId="0" xfId="0" applyNumberFormat="1" applyFont="1" applyFill="1" applyAlignment="1">
      <alignment horizontal="left" vertical="top" wrapText="1" indent="2"/>
    </xf>
    <xf numFmtId="3" fontId="55" fillId="0" borderId="0" xfId="0" applyNumberFormat="1" applyFont="1" applyFill="1"/>
    <xf numFmtId="3" fontId="80" fillId="0" borderId="0" xfId="36" applyNumberFormat="1" applyFont="1" applyFill="1" applyBorder="1" applyAlignment="1" applyProtection="1">
      <alignment vertical="top"/>
    </xf>
    <xf numFmtId="3" fontId="0" fillId="0" borderId="0" xfId="0" applyNumberFormat="1" applyBorder="1" applyAlignment="1">
      <alignment horizontal="right"/>
    </xf>
    <xf numFmtId="0" fontId="53" fillId="0" borderId="0" xfId="5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top" wrapText="1"/>
    </xf>
    <xf numFmtId="0" fontId="53" fillId="0" borderId="0" xfId="50" applyFont="1" applyFill="1" applyBorder="1" applyAlignment="1">
      <alignment vertical="top"/>
    </xf>
    <xf numFmtId="0" fontId="89" fillId="0" borderId="0" xfId="43" applyFont="1" applyFill="1" applyBorder="1" applyAlignment="1">
      <alignment horizontal="right" vertical="top" wrapText="1" indent="3"/>
    </xf>
    <xf numFmtId="3" fontId="89" fillId="0" borderId="0" xfId="43" applyNumberFormat="1" applyFont="1" applyFill="1" applyBorder="1" applyAlignment="1">
      <alignment vertical="top" wrapText="1"/>
    </xf>
    <xf numFmtId="3" fontId="36" fillId="0" borderId="0" xfId="35" applyNumberFormat="1" applyFont="1" applyFill="1" applyBorder="1" applyAlignment="1">
      <alignment horizontal="right" vertical="top" wrapText="1"/>
    </xf>
    <xf numFmtId="3" fontId="36" fillId="0" borderId="0" xfId="0" applyNumberFormat="1" applyFont="1" applyFill="1" applyBorder="1" applyAlignment="1">
      <alignment vertical="top"/>
    </xf>
    <xf numFmtId="3" fontId="14" fillId="0" borderId="0" xfId="148" applyNumberFormat="1" applyFont="1" applyFill="1" applyBorder="1" applyAlignment="1">
      <alignment vertical="top"/>
    </xf>
    <xf numFmtId="3" fontId="14" fillId="0" borderId="0" xfId="0" applyNumberFormat="1" applyFont="1" applyFill="1" applyBorder="1"/>
    <xf numFmtId="0" fontId="35" fillId="0" borderId="0" xfId="151" applyFont="1"/>
    <xf numFmtId="0" fontId="14" fillId="0" borderId="0" xfId="151" applyFont="1" applyAlignment="1">
      <alignment horizontal="left" indent="3"/>
    </xf>
    <xf numFmtId="3" fontId="79" fillId="0" borderId="0" xfId="37" applyNumberFormat="1" applyFont="1" applyFill="1" applyBorder="1" applyAlignment="1">
      <alignment vertical="top"/>
    </xf>
    <xf numFmtId="3" fontId="79" fillId="0" borderId="0" xfId="0" applyNumberFormat="1" applyFont="1" applyFill="1" applyBorder="1" applyAlignment="1">
      <alignment vertical="top"/>
    </xf>
    <xf numFmtId="3" fontId="85" fillId="0" borderId="0" xfId="36" applyNumberFormat="1" applyFont="1" applyFill="1" applyBorder="1" applyAlignment="1" applyProtection="1">
      <alignment vertical="top"/>
    </xf>
    <xf numFmtId="3" fontId="81" fillId="0" borderId="0" xfId="31" quotePrefix="1" applyNumberFormat="1" applyFont="1" applyFill="1" applyBorder="1" applyAlignment="1" applyProtection="1">
      <alignment vertical="top" wrapText="1"/>
    </xf>
    <xf numFmtId="0" fontId="14" fillId="0" borderId="0" xfId="0" applyFont="1" applyBorder="1"/>
    <xf numFmtId="3" fontId="40" fillId="0" borderId="0" xfId="36" applyNumberFormat="1" applyFont="1" applyFill="1" applyBorder="1" applyAlignment="1" applyProtection="1">
      <alignment vertical="top"/>
    </xf>
    <xf numFmtId="3" fontId="35" fillId="0" borderId="0" xfId="36" applyNumberFormat="1" applyFont="1" applyFill="1" applyBorder="1" applyAlignment="1" applyProtection="1">
      <alignment vertical="top"/>
    </xf>
    <xf numFmtId="3" fontId="14" fillId="0" borderId="0" xfId="31" applyNumberFormat="1" applyFont="1" applyFill="1" applyBorder="1" applyAlignment="1" applyProtection="1">
      <alignment vertical="top"/>
    </xf>
    <xf numFmtId="3" fontId="14" fillId="0" borderId="0" xfId="37" applyNumberFormat="1" applyFont="1" applyFill="1" applyBorder="1" applyAlignment="1">
      <alignment vertical="top"/>
    </xf>
    <xf numFmtId="3" fontId="35" fillId="0" borderId="0" xfId="0" applyNumberFormat="1" applyFont="1" applyFill="1" applyBorder="1" applyAlignment="1">
      <alignment vertical="top"/>
    </xf>
    <xf numFmtId="3" fontId="45" fillId="0" borderId="0" xfId="0" quotePrefix="1" applyNumberFormat="1" applyFont="1" applyFill="1" applyBorder="1" applyAlignment="1">
      <alignment vertical="top"/>
    </xf>
    <xf numFmtId="0" fontId="55" fillId="0" borderId="0" xfId="0" applyFont="1" applyFill="1" applyBorder="1"/>
    <xf numFmtId="3" fontId="43" fillId="0" borderId="0" xfId="36" applyNumberFormat="1" applyFont="1" applyFill="1" applyBorder="1" applyAlignment="1" applyProtection="1">
      <alignment vertical="top"/>
    </xf>
    <xf numFmtId="3" fontId="35" fillId="0" borderId="0" xfId="37" applyNumberFormat="1" applyFont="1" applyFill="1" applyBorder="1" applyAlignment="1">
      <alignment vertical="top"/>
    </xf>
    <xf numFmtId="3" fontId="14" fillId="0" borderId="0" xfId="37" applyNumberFormat="1" applyFont="1" applyFill="1" applyBorder="1" applyAlignment="1">
      <alignment vertical="top" wrapText="1"/>
    </xf>
    <xf numFmtId="3" fontId="14" fillId="0" borderId="0" xfId="0" applyNumberFormat="1" applyFont="1" applyFill="1" applyAlignment="1">
      <alignment vertical="top"/>
    </xf>
    <xf numFmtId="3" fontId="45" fillId="0" borderId="0" xfId="37" applyNumberFormat="1" applyFont="1" applyFill="1" applyBorder="1" applyAlignment="1">
      <alignment vertical="top" wrapText="1"/>
    </xf>
    <xf numFmtId="3" fontId="43" fillId="0" borderId="0" xfId="36" applyNumberFormat="1" applyFont="1" applyFill="1" applyBorder="1" applyAlignment="1">
      <alignment vertical="top"/>
    </xf>
    <xf numFmtId="3" fontId="36" fillId="0" borderId="0" xfId="36" applyNumberFormat="1" applyFont="1" applyFill="1" applyBorder="1" applyAlignment="1" applyProtection="1">
      <alignment vertical="top"/>
    </xf>
    <xf numFmtId="3" fontId="35" fillId="0" borderId="0" xfId="36" applyNumberFormat="1" applyFont="1" applyFill="1" applyBorder="1" applyAlignment="1">
      <alignment vertical="top"/>
    </xf>
    <xf numFmtId="3" fontId="43" fillId="0" borderId="0" xfId="36" applyNumberFormat="1" applyFont="1" applyFill="1" applyBorder="1" applyAlignment="1" applyProtection="1">
      <alignment vertical="top" wrapText="1"/>
    </xf>
    <xf numFmtId="3" fontId="35" fillId="0" borderId="0" xfId="36" applyNumberFormat="1" applyFont="1" applyFill="1" applyBorder="1" applyAlignment="1" applyProtection="1">
      <alignment vertical="top" wrapText="1"/>
    </xf>
    <xf numFmtId="3" fontId="36" fillId="0" borderId="0" xfId="36" applyNumberFormat="1" applyFont="1" applyFill="1" applyBorder="1" applyAlignment="1" applyProtection="1">
      <alignment vertical="top" wrapText="1"/>
    </xf>
    <xf numFmtId="3" fontId="35" fillId="0" borderId="0" xfId="36" applyNumberFormat="1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vertical="top" wrapText="1"/>
    </xf>
    <xf numFmtId="3" fontId="36" fillId="0" borderId="0" xfId="0" applyNumberFormat="1" applyFont="1" applyFill="1" applyAlignment="1"/>
    <xf numFmtId="3" fontId="45" fillId="0" borderId="0" xfId="37" quotePrefix="1" applyNumberFormat="1" applyFont="1" applyFill="1" applyBorder="1" applyAlignment="1">
      <alignment vertical="top" wrapText="1"/>
    </xf>
    <xf numFmtId="3" fontId="45" fillId="0" borderId="0" xfId="37" quotePrefix="1" applyNumberFormat="1" applyFont="1" applyFill="1" applyBorder="1" applyAlignment="1">
      <alignment wrapText="1"/>
    </xf>
    <xf numFmtId="3" fontId="40" fillId="0" borderId="0" xfId="0" applyNumberFormat="1" applyFont="1" applyFill="1" applyAlignment="1">
      <alignment vertical="top"/>
    </xf>
    <xf numFmtId="3" fontId="35" fillId="0" borderId="0" xfId="0" applyNumberFormat="1" applyFont="1" applyFill="1" applyAlignment="1">
      <alignment vertical="top" wrapText="1"/>
    </xf>
    <xf numFmtId="3" fontId="14" fillId="0" borderId="0" xfId="31" applyNumberFormat="1" applyFont="1" applyFill="1" applyBorder="1" applyAlignment="1" applyProtection="1">
      <alignment vertical="top" wrapText="1"/>
    </xf>
    <xf numFmtId="3" fontId="45" fillId="0" borderId="0" xfId="37" applyNumberFormat="1" applyFont="1" applyFill="1" applyBorder="1" applyAlignment="1">
      <alignment wrapText="1"/>
    </xf>
    <xf numFmtId="3" fontId="51" fillId="0" borderId="0" xfId="36" applyNumberFormat="1" applyFont="1" applyFill="1" applyBorder="1" applyAlignment="1" applyProtection="1">
      <alignment vertical="top" wrapText="1"/>
    </xf>
    <xf numFmtId="3" fontId="14" fillId="0" borderId="0" xfId="36" applyNumberFormat="1" applyFont="1" applyFill="1" applyBorder="1" applyAlignment="1" applyProtection="1">
      <alignment vertical="top" wrapText="1"/>
    </xf>
    <xf numFmtId="3" fontId="33" fillId="0" borderId="0" xfId="36" applyNumberFormat="1" applyFont="1" applyFill="1" applyBorder="1" applyAlignment="1" applyProtection="1">
      <alignment vertical="top" wrapText="1"/>
    </xf>
    <xf numFmtId="3" fontId="33" fillId="0" borderId="0" xfId="36" applyNumberFormat="1" applyFont="1" applyFill="1" applyBorder="1" applyAlignment="1">
      <alignment vertical="top" wrapText="1"/>
    </xf>
    <xf numFmtId="3" fontId="35" fillId="0" borderId="0" xfId="37" applyNumberFormat="1" applyFont="1" applyFill="1" applyBorder="1" applyAlignment="1">
      <alignment vertical="top" wrapText="1"/>
    </xf>
    <xf numFmtId="3" fontId="33" fillId="0" borderId="0" xfId="36" applyNumberFormat="1" applyFont="1" applyFill="1" applyBorder="1" applyAlignment="1" applyProtection="1">
      <alignment vertical="top"/>
    </xf>
    <xf numFmtId="3" fontId="14" fillId="0" borderId="0" xfId="36" applyNumberFormat="1" applyFont="1" applyFill="1" applyBorder="1" applyAlignment="1" applyProtection="1">
      <alignment vertical="top"/>
    </xf>
    <xf numFmtId="3" fontId="45" fillId="0" borderId="0" xfId="31" applyNumberFormat="1" applyFont="1" applyFill="1" applyBorder="1" applyAlignment="1" applyProtection="1">
      <alignment vertical="top" wrapText="1"/>
    </xf>
    <xf numFmtId="3" fontId="45" fillId="0" borderId="0" xfId="37" quotePrefix="1" applyNumberFormat="1" applyFont="1" applyFill="1" applyBorder="1" applyAlignment="1">
      <alignment vertical="top"/>
    </xf>
    <xf numFmtId="3" fontId="33" fillId="0" borderId="0" xfId="36" applyNumberFormat="1" applyFont="1" applyFill="1" applyAlignment="1">
      <alignment vertical="top" wrapText="1"/>
    </xf>
    <xf numFmtId="3" fontId="33" fillId="0" borderId="0" xfId="36" applyNumberFormat="1" applyFont="1" applyFill="1" applyAlignment="1">
      <alignment vertical="top"/>
    </xf>
    <xf numFmtId="3" fontId="45" fillId="0" borderId="0" xfId="36" applyNumberFormat="1" applyFont="1" applyFill="1" applyBorder="1" applyAlignment="1" applyProtection="1">
      <alignment vertical="top" wrapText="1"/>
    </xf>
    <xf numFmtId="3" fontId="53" fillId="0" borderId="0" xfId="43" applyNumberFormat="1" applyFont="1" applyFill="1" applyBorder="1" applyAlignment="1">
      <alignment wrapText="1"/>
    </xf>
    <xf numFmtId="3" fontId="35" fillId="0" borderId="0" xfId="151" applyNumberFormat="1" applyFont="1" applyFill="1" applyAlignment="1">
      <alignment vertical="top"/>
    </xf>
    <xf numFmtId="3" fontId="33" fillId="0" borderId="0" xfId="31" applyNumberFormat="1" applyFont="1" applyFill="1" applyBorder="1" applyAlignment="1" applyProtection="1">
      <alignment vertical="top" wrapText="1"/>
    </xf>
    <xf numFmtId="3" fontId="35" fillId="0" borderId="0" xfId="43" applyNumberFormat="1" applyFont="1" applyFill="1" applyAlignment="1">
      <alignment vertical="top"/>
    </xf>
    <xf numFmtId="3" fontId="40" fillId="0" borderId="0" xfId="37" applyNumberFormat="1" applyFont="1" applyFill="1" applyBorder="1" applyAlignment="1">
      <alignment vertical="top"/>
    </xf>
    <xf numFmtId="3" fontId="14" fillId="0" borderId="0" xfId="36" applyNumberFormat="1" applyFont="1" applyFill="1" applyBorder="1" applyAlignment="1">
      <alignment vertical="top" wrapText="1"/>
    </xf>
    <xf numFmtId="3" fontId="51" fillId="0" borderId="0" xfId="37" applyNumberFormat="1" applyFont="1" applyFill="1" applyBorder="1" applyAlignment="1">
      <alignment wrapText="1"/>
    </xf>
    <xf numFmtId="3" fontId="45" fillId="0" borderId="0" xfId="36" applyNumberFormat="1" applyFont="1" applyFill="1" applyBorder="1" applyAlignment="1" applyProtection="1">
      <alignment vertical="top"/>
    </xf>
    <xf numFmtId="3" fontId="45" fillId="0" borderId="0" xfId="36" quotePrefix="1" applyNumberFormat="1" applyFont="1" applyFill="1" applyBorder="1" applyAlignment="1" applyProtection="1"/>
    <xf numFmtId="3" fontId="45" fillId="0" borderId="0" xfId="31" quotePrefix="1" applyNumberFormat="1" applyFont="1" applyFill="1" applyBorder="1" applyAlignment="1" applyProtection="1">
      <alignment vertical="top" wrapText="1"/>
    </xf>
    <xf numFmtId="3" fontId="40" fillId="0" borderId="0" xfId="43" applyNumberFormat="1" applyFont="1" applyFill="1" applyAlignment="1">
      <alignment vertical="top" wrapText="1"/>
    </xf>
    <xf numFmtId="3" fontId="35" fillId="0" borderId="0" xfId="43" applyNumberFormat="1" applyFont="1" applyFill="1" applyAlignment="1">
      <alignment vertical="top" wrapText="1"/>
    </xf>
    <xf numFmtId="3" fontId="40" fillId="0" borderId="0" xfId="0" applyNumberFormat="1" applyFont="1" applyFill="1" applyAlignment="1">
      <alignment vertical="top" wrapText="1"/>
    </xf>
    <xf numFmtId="3" fontId="33" fillId="0" borderId="0" xfId="35" applyNumberFormat="1" applyFont="1" applyFill="1" applyBorder="1" applyAlignment="1" applyProtection="1">
      <alignment vertical="top"/>
    </xf>
    <xf numFmtId="3" fontId="45" fillId="0" borderId="0" xfId="0" quotePrefix="1" applyNumberFormat="1" applyFont="1" applyFill="1" applyAlignment="1">
      <alignment vertical="top"/>
    </xf>
    <xf numFmtId="3" fontId="14" fillId="0" borderId="0" xfId="43" applyNumberFormat="1" applyFont="1" applyFill="1" applyAlignment="1">
      <alignment vertical="top" wrapText="1"/>
    </xf>
    <xf numFmtId="3" fontId="35" fillId="0" borderId="0" xfId="43" applyNumberFormat="1" applyFont="1" applyFill="1" applyAlignment="1">
      <alignment wrapText="1"/>
    </xf>
    <xf numFmtId="3" fontId="35" fillId="0" borderId="0" xfId="151" applyNumberFormat="1" applyFont="1" applyFill="1" applyAlignment="1">
      <alignment vertical="top" wrapText="1"/>
    </xf>
    <xf numFmtId="3" fontId="40" fillId="0" borderId="0" xfId="151" applyNumberFormat="1" applyFont="1" applyFill="1" applyAlignment="1">
      <alignment vertical="top"/>
    </xf>
    <xf numFmtId="3" fontId="33" fillId="0" borderId="0" xfId="37" applyNumberFormat="1" applyFont="1" applyFill="1" applyBorder="1" applyAlignment="1">
      <alignment vertical="top"/>
    </xf>
    <xf numFmtId="3" fontId="33" fillId="0" borderId="0" xfId="0" applyNumberFormat="1" applyFont="1" applyFill="1" applyAlignment="1">
      <alignment vertical="top" wrapText="1"/>
    </xf>
    <xf numFmtId="3" fontId="14" fillId="0" borderId="0" xfId="0" applyNumberFormat="1" applyFont="1" applyFill="1" applyAlignment="1">
      <alignment vertical="center"/>
    </xf>
    <xf numFmtId="3" fontId="45" fillId="0" borderId="0" xfId="0" quotePrefix="1" applyNumberFormat="1" applyFont="1" applyFill="1" applyAlignment="1">
      <alignment wrapText="1"/>
    </xf>
    <xf numFmtId="3" fontId="51" fillId="0" borderId="0" xfId="0" applyNumberFormat="1" applyFont="1" applyFill="1" applyAlignment="1">
      <alignment vertical="top"/>
    </xf>
    <xf numFmtId="3" fontId="33" fillId="0" borderId="0" xfId="0" applyNumberFormat="1" applyFont="1" applyFill="1" applyBorder="1" applyAlignment="1"/>
    <xf numFmtId="3" fontId="14" fillId="0" borderId="0" xfId="0" applyNumberFormat="1" applyFont="1" applyFill="1" applyAlignment="1">
      <alignment vertical="top" wrapText="1"/>
    </xf>
    <xf numFmtId="3" fontId="45" fillId="0" borderId="0" xfId="0" applyNumberFormat="1" applyFont="1" applyFill="1" applyAlignment="1">
      <alignment vertical="top"/>
    </xf>
    <xf numFmtId="3" fontId="14" fillId="0" borderId="0" xfId="36" applyNumberFormat="1" applyFont="1" applyFill="1" applyBorder="1" applyAlignment="1">
      <alignment vertical="top"/>
    </xf>
    <xf numFmtId="3" fontId="51" fillId="0" borderId="0" xfId="31" applyNumberFormat="1" applyFont="1" applyFill="1" applyBorder="1" applyAlignment="1" applyProtection="1">
      <alignment vertical="top" wrapText="1"/>
    </xf>
    <xf numFmtId="0" fontId="76" fillId="0" borderId="0" xfId="0" applyFont="1" applyFill="1" applyBorder="1"/>
    <xf numFmtId="9" fontId="55" fillId="0" borderId="0" xfId="0" applyNumberFormat="1" applyFont="1"/>
    <xf numFmtId="4" fontId="0" fillId="0" borderId="0" xfId="0" applyNumberFormat="1"/>
    <xf numFmtId="4" fontId="0" fillId="0" borderId="0" xfId="0" applyNumberFormat="1" applyAlignment="1">
      <alignment horizontal="right"/>
    </xf>
    <xf numFmtId="4" fontId="14" fillId="0" borderId="0" xfId="0" applyNumberFormat="1" applyFont="1"/>
    <xf numFmtId="4" fontId="77" fillId="0" borderId="0" xfId="0" applyNumberFormat="1" applyFont="1"/>
    <xf numFmtId="4" fontId="34" fillId="0" borderId="0" xfId="0" applyNumberFormat="1" applyFont="1" applyFill="1" applyBorder="1" applyAlignment="1"/>
    <xf numFmtId="4" fontId="47" fillId="0" borderId="0" xfId="0" applyNumberFormat="1" applyFont="1" applyFill="1"/>
    <xf numFmtId="4" fontId="87" fillId="0" borderId="0" xfId="0" applyNumberFormat="1" applyFont="1" applyFill="1"/>
    <xf numFmtId="4" fontId="47" fillId="0" borderId="0" xfId="0" applyNumberFormat="1" applyFont="1" applyFill="1" applyBorder="1" applyAlignment="1"/>
    <xf numFmtId="3" fontId="14" fillId="0" borderId="0" xfId="150" applyNumberFormat="1" applyFont="1"/>
    <xf numFmtId="3" fontId="14" fillId="0" borderId="0" xfId="36" applyNumberFormat="1" applyFont="1" applyFill="1" applyAlignment="1">
      <alignment vertical="top" wrapText="1"/>
    </xf>
    <xf numFmtId="3" fontId="36" fillId="0" borderId="0" xfId="37" quotePrefix="1" applyNumberFormat="1" applyFont="1" applyFill="1" applyBorder="1" applyAlignment="1">
      <alignment vertical="top" wrapText="1"/>
    </xf>
    <xf numFmtId="0" fontId="76" fillId="0" borderId="0" xfId="0" applyFont="1" applyBorder="1"/>
    <xf numFmtId="0" fontId="97" fillId="0" borderId="0" xfId="36" applyNumberFormat="1" applyFont="1" applyFill="1" applyBorder="1" applyAlignment="1" applyProtection="1">
      <alignment horizontal="left" vertical="top" indent="2"/>
    </xf>
    <xf numFmtId="49" fontId="98" fillId="0" borderId="0" xfId="37" applyNumberFormat="1" applyFont="1" applyFill="1" applyBorder="1" applyAlignment="1">
      <alignment horizontal="left" wrapText="1" indent="1"/>
    </xf>
    <xf numFmtId="0" fontId="98" fillId="0" borderId="0" xfId="37" quotePrefix="1" applyNumberFormat="1" applyFont="1" applyFill="1" applyBorder="1" applyAlignment="1">
      <alignment horizontal="left" vertical="top" wrapText="1" indent="1"/>
    </xf>
    <xf numFmtId="0" fontId="98" fillId="0" borderId="0" xfId="37" applyNumberFormat="1" applyFont="1" applyFill="1" applyBorder="1" applyAlignment="1">
      <alignment horizontal="left" vertical="top" wrapText="1" indent="1"/>
    </xf>
    <xf numFmtId="0" fontId="14" fillId="0" borderId="0" xfId="0" applyFont="1" applyFill="1" applyBorder="1" applyAlignment="1">
      <alignment vertical="top"/>
    </xf>
    <xf numFmtId="0" fontId="53" fillId="0" borderId="0" xfId="0" applyFont="1" applyFill="1" applyBorder="1" applyAlignment="1" applyProtection="1">
      <alignment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>
      <alignment vertical="top"/>
    </xf>
    <xf numFmtId="0" fontId="53" fillId="0" borderId="0" xfId="151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left" vertical="top" wrapText="1" indent="1"/>
    </xf>
    <xf numFmtId="0" fontId="53" fillId="0" borderId="0" xfId="0" applyFont="1" applyFill="1" applyBorder="1" applyAlignment="1">
      <alignment horizontal="left" vertical="top" wrapText="1"/>
    </xf>
    <xf numFmtId="3" fontId="35" fillId="0" borderId="0" xfId="0" applyNumberFormat="1" applyFont="1" applyFill="1" applyBorder="1" applyAlignment="1">
      <alignment horizontal="right" vertical="top"/>
    </xf>
    <xf numFmtId="3" fontId="53" fillId="0" borderId="0" xfId="0" applyNumberFormat="1" applyFont="1" applyFill="1" applyBorder="1" applyAlignment="1">
      <alignment horizontal="right" vertical="top"/>
    </xf>
    <xf numFmtId="3" fontId="14" fillId="0" borderId="0" xfId="0" applyNumberFormat="1" applyFont="1" applyFill="1" applyBorder="1" applyAlignment="1">
      <alignment horizontal="right" vertical="top"/>
    </xf>
    <xf numFmtId="3" fontId="44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33" fillId="0" borderId="0" xfId="0" applyFont="1" applyFill="1" applyBorder="1" applyAlignment="1">
      <alignment horizontal="left" vertical="top" wrapText="1" indent="2"/>
    </xf>
    <xf numFmtId="3" fontId="14" fillId="0" borderId="0" xfId="43" applyNumberFormat="1" applyFont="1" applyFill="1" applyBorder="1" applyAlignment="1" applyProtection="1">
      <alignment vertical="top"/>
      <protection locked="0"/>
    </xf>
    <xf numFmtId="3" fontId="14" fillId="0" borderId="0" xfId="43" applyNumberFormat="1" applyFont="1" applyFill="1" applyBorder="1" applyAlignment="1">
      <alignment vertical="top"/>
    </xf>
    <xf numFmtId="3" fontId="14" fillId="0" borderId="0" xfId="43" applyNumberFormat="1" applyFont="1" applyFill="1" applyBorder="1" applyAlignment="1">
      <alignment vertical="top" wrapText="1"/>
    </xf>
    <xf numFmtId="3" fontId="36" fillId="0" borderId="0" xfId="43" applyNumberFormat="1" applyFont="1" applyFill="1" applyBorder="1" applyAlignment="1">
      <alignment vertical="top" wrapText="1"/>
    </xf>
    <xf numFmtId="3" fontId="36" fillId="0" borderId="0" xfId="43" applyNumberFormat="1" applyFont="1" applyFill="1" applyBorder="1" applyAlignment="1">
      <alignment vertical="top"/>
    </xf>
    <xf numFmtId="3" fontId="14" fillId="0" borderId="0" xfId="43" applyNumberFormat="1" applyFont="1" applyFill="1" applyBorder="1" applyAlignment="1"/>
    <xf numFmtId="0" fontId="36" fillId="0" borderId="0" xfId="43" applyFont="1" applyFill="1" applyBorder="1" applyAlignment="1">
      <alignment horizontal="left" vertical="top" wrapText="1" indent="3"/>
    </xf>
    <xf numFmtId="0" fontId="14" fillId="0" borderId="0" xfId="43" applyFont="1" applyFill="1" applyBorder="1" applyAlignment="1">
      <alignment horizontal="left" wrapText="1"/>
    </xf>
    <xf numFmtId="0" fontId="99" fillId="0" borderId="0" xfId="43" applyFont="1" applyFill="1" applyBorder="1" applyAlignment="1">
      <alignment horizontal="left" vertical="top" wrapText="1" indent="3"/>
    </xf>
    <xf numFmtId="3" fontId="48" fillId="0" borderId="0" xfId="43" applyNumberFormat="1" applyFont="1" applyFill="1" applyBorder="1" applyAlignment="1">
      <alignment wrapText="1"/>
    </xf>
    <xf numFmtId="3" fontId="52" fillId="0" borderId="0" xfId="43" applyNumberFormat="1" applyFont="1" applyFill="1" applyBorder="1" applyAlignment="1">
      <alignment vertical="top"/>
    </xf>
    <xf numFmtId="3" fontId="46" fillId="0" borderId="0" xfId="0" applyNumberFormat="1" applyFont="1" applyFill="1" applyBorder="1" applyAlignment="1">
      <alignment vertical="top"/>
    </xf>
    <xf numFmtId="3" fontId="47" fillId="0" borderId="0" xfId="0" applyNumberFormat="1" applyFont="1" applyFill="1" applyBorder="1" applyAlignment="1">
      <alignment vertical="top"/>
    </xf>
    <xf numFmtId="3" fontId="35" fillId="0" borderId="0" xfId="148" applyNumberFormat="1" applyFont="1" applyFill="1" applyBorder="1" applyAlignment="1">
      <alignment vertical="top"/>
    </xf>
    <xf numFmtId="0" fontId="45" fillId="0" borderId="0" xfId="31" quotePrefix="1" applyNumberFormat="1" applyFont="1" applyFill="1" applyBorder="1" applyAlignment="1" applyProtection="1">
      <alignment horizontal="left" vertical="top" indent="1"/>
    </xf>
    <xf numFmtId="0" fontId="45" fillId="0" borderId="0" xfId="31" quotePrefix="1" applyNumberFormat="1" applyFont="1" applyFill="1" applyBorder="1" applyAlignment="1" applyProtection="1">
      <alignment horizontal="left" vertical="top" wrapText="1" indent="1"/>
    </xf>
    <xf numFmtId="49" fontId="45" fillId="0" borderId="0" xfId="31" quotePrefix="1" applyNumberFormat="1" applyFont="1" applyFill="1" applyBorder="1" applyAlignment="1" applyProtection="1">
      <alignment horizontal="left" vertical="top" wrapText="1" indent="1"/>
    </xf>
    <xf numFmtId="0" fontId="45" fillId="0" borderId="0" xfId="0" applyNumberFormat="1" applyFont="1" applyFill="1" applyAlignment="1">
      <alignment horizontal="left" vertical="top" wrapText="1" indent="3"/>
    </xf>
    <xf numFmtId="0" fontId="45" fillId="0" borderId="0" xfId="36" quotePrefix="1" applyNumberFormat="1" applyFont="1" applyFill="1" applyBorder="1" applyAlignment="1" applyProtection="1">
      <alignment horizontal="left" vertical="top" indent="1"/>
    </xf>
    <xf numFmtId="0" fontId="45" fillId="0" borderId="0" xfId="36" quotePrefix="1" applyNumberFormat="1" applyFont="1" applyFill="1" applyBorder="1" applyAlignment="1" applyProtection="1">
      <alignment horizontal="left" vertical="top" wrapText="1" indent="1"/>
    </xf>
    <xf numFmtId="0" fontId="101" fillId="0" borderId="0" xfId="37" quotePrefix="1" applyNumberFormat="1" applyFont="1" applyFill="1" applyBorder="1" applyAlignment="1">
      <alignment horizontal="left" vertical="top" wrapText="1" indent="1"/>
    </xf>
    <xf numFmtId="0" fontId="43" fillId="0" borderId="0" xfId="36" applyNumberFormat="1" applyFont="1" applyFill="1" applyBorder="1" applyAlignment="1" applyProtection="1">
      <alignment horizontal="left" vertical="top"/>
    </xf>
    <xf numFmtId="0" fontId="14" fillId="0" borderId="0" xfId="36" applyNumberFormat="1" applyFont="1" applyFill="1" applyBorder="1" applyAlignment="1">
      <alignment horizontal="left" vertical="top"/>
    </xf>
    <xf numFmtId="0" fontId="40" fillId="0" borderId="0" xfId="0" applyNumberFormat="1" applyFont="1" applyFill="1" applyAlignment="1">
      <alignment horizontal="left" vertical="top"/>
    </xf>
    <xf numFmtId="0" fontId="42" fillId="0" borderId="0" xfId="0" applyNumberFormat="1" applyFont="1" applyFill="1" applyAlignment="1">
      <alignment horizontal="left" vertical="top" indent="1"/>
    </xf>
    <xf numFmtId="0" fontId="45" fillId="0" borderId="0" xfId="36" applyNumberFormat="1" applyFont="1" applyFill="1" applyBorder="1" applyAlignment="1" applyProtection="1">
      <alignment horizontal="left" vertical="top" indent="3"/>
    </xf>
    <xf numFmtId="0" fontId="33" fillId="0" borderId="0" xfId="36" applyNumberFormat="1" applyFont="1" applyFill="1" applyBorder="1" applyAlignment="1" applyProtection="1">
      <alignment horizontal="left" vertical="top" indent="3"/>
    </xf>
    <xf numFmtId="0" fontId="33" fillId="0" borderId="0" xfId="36" applyNumberFormat="1" applyFont="1" applyFill="1" applyBorder="1" applyAlignment="1" applyProtection="1">
      <alignment horizontal="left" vertical="top" indent="4"/>
    </xf>
    <xf numFmtId="0" fontId="33" fillId="0" borderId="0" xfId="36" applyNumberFormat="1" applyFont="1" applyFill="1" applyBorder="1" applyAlignment="1" applyProtection="1">
      <alignment horizontal="left" vertical="top" indent="5"/>
    </xf>
    <xf numFmtId="0" fontId="51" fillId="0" borderId="0" xfId="36" applyNumberFormat="1" applyFont="1" applyFill="1" applyBorder="1" applyAlignment="1" applyProtection="1">
      <alignment horizontal="left" vertical="top" indent="4"/>
    </xf>
    <xf numFmtId="0" fontId="33" fillId="0" borderId="0" xfId="31" applyNumberFormat="1" applyFont="1" applyFill="1" applyBorder="1" applyAlignment="1" applyProtection="1">
      <alignment horizontal="left" vertical="top" wrapText="1" indent="4"/>
    </xf>
    <xf numFmtId="0" fontId="51" fillId="0" borderId="0" xfId="36" applyNumberFormat="1" applyFont="1" applyFill="1" applyBorder="1" applyAlignment="1" applyProtection="1">
      <alignment horizontal="left" vertical="top" wrapText="1" indent="2"/>
    </xf>
    <xf numFmtId="0" fontId="14" fillId="0" borderId="0" xfId="31" applyNumberFormat="1" applyFont="1" applyFill="1" applyBorder="1" applyAlignment="1" applyProtection="1">
      <alignment horizontal="left" vertical="top" indent="2"/>
    </xf>
    <xf numFmtId="0" fontId="42" fillId="0" borderId="0" xfId="0" applyNumberFormat="1" applyFont="1" applyFill="1" applyAlignment="1">
      <alignment horizontal="left" vertical="top" wrapText="1" indent="1"/>
    </xf>
    <xf numFmtId="49" fontId="33" fillId="0" borderId="0" xfId="0" applyNumberFormat="1" applyFont="1" applyFill="1" applyAlignment="1">
      <alignment horizontal="left" vertical="top" indent="3"/>
    </xf>
    <xf numFmtId="49" fontId="33" fillId="0" borderId="0" xfId="0" applyNumberFormat="1" applyFont="1" applyFill="1" applyAlignment="1">
      <alignment horizontal="left" vertical="top" indent="4"/>
    </xf>
    <xf numFmtId="0" fontId="35" fillId="0" borderId="0" xfId="0" applyNumberFormat="1" applyFont="1" applyFill="1" applyAlignment="1">
      <alignment horizontal="left" vertical="top"/>
    </xf>
    <xf numFmtId="0" fontId="45" fillId="0" borderId="0" xfId="36" applyNumberFormat="1" applyFont="1" applyFill="1" applyBorder="1" applyAlignment="1" applyProtection="1">
      <alignment horizontal="left" vertical="top" indent="1"/>
    </xf>
    <xf numFmtId="0" fontId="41" fillId="0" borderId="0" xfId="0" applyNumberFormat="1" applyFont="1" applyFill="1" applyAlignment="1">
      <alignment horizontal="left" vertical="top"/>
    </xf>
    <xf numFmtId="0" fontId="44" fillId="0" borderId="0" xfId="36" applyNumberFormat="1" applyFont="1" applyFill="1" applyBorder="1" applyAlignment="1" applyProtection="1">
      <alignment horizontal="left" vertical="top"/>
    </xf>
    <xf numFmtId="0" fontId="51" fillId="0" borderId="0" xfId="36" applyNumberFormat="1" applyFont="1" applyFill="1" applyBorder="1" applyAlignment="1" applyProtection="1">
      <alignment horizontal="left" vertical="top" indent="1"/>
    </xf>
    <xf numFmtId="0" fontId="33" fillId="0" borderId="0" xfId="31" applyNumberFormat="1" applyFont="1" applyFill="1" applyBorder="1" applyAlignment="1" applyProtection="1">
      <alignment horizontal="left" vertical="top" wrapText="1" indent="3"/>
    </xf>
    <xf numFmtId="0" fontId="14" fillId="0" borderId="0" xfId="36" applyNumberFormat="1" applyFont="1" applyFill="1" applyBorder="1" applyAlignment="1" applyProtection="1">
      <alignment horizontal="left" vertical="top" indent="1"/>
    </xf>
    <xf numFmtId="0" fontId="33" fillId="0" borderId="0" xfId="36" applyNumberFormat="1" applyFont="1" applyFill="1" applyBorder="1" applyAlignment="1" applyProtection="1">
      <alignment horizontal="left" vertical="top" indent="2"/>
    </xf>
    <xf numFmtId="0" fontId="33" fillId="0" borderId="0" xfId="0" applyNumberFormat="1" applyFont="1" applyFill="1" applyAlignment="1">
      <alignment horizontal="left" vertical="top" indent="2"/>
    </xf>
    <xf numFmtId="0" fontId="45" fillId="0" borderId="0" xfId="36" applyNumberFormat="1" applyFont="1" applyFill="1" applyBorder="1" applyAlignment="1" applyProtection="1">
      <alignment horizontal="left" vertical="top" wrapText="1" indent="1"/>
    </xf>
    <xf numFmtId="0" fontId="33" fillId="0" borderId="0" xfId="0" applyFont="1" applyFill="1" applyBorder="1" applyAlignment="1">
      <alignment horizontal="left" indent="2"/>
    </xf>
    <xf numFmtId="0" fontId="44" fillId="0" borderId="0" xfId="36" applyNumberFormat="1" applyFont="1" applyFill="1" applyBorder="1" applyAlignment="1" applyProtection="1">
      <alignment horizontal="left" vertical="top" wrapText="1"/>
    </xf>
    <xf numFmtId="0" fontId="44" fillId="0" borderId="0" xfId="36" applyNumberFormat="1" applyFont="1" applyFill="1" applyBorder="1" applyAlignment="1" applyProtection="1">
      <alignment vertical="top"/>
    </xf>
    <xf numFmtId="0" fontId="41" fillId="0" borderId="0" xfId="36" applyNumberFormat="1" applyFont="1" applyFill="1" applyBorder="1" applyAlignment="1" applyProtection="1">
      <alignment horizontal="left" vertical="top"/>
    </xf>
    <xf numFmtId="0" fontId="33" fillId="0" borderId="0" xfId="36" applyNumberFormat="1" applyFont="1" applyFill="1" applyBorder="1" applyAlignment="1" applyProtection="1">
      <alignment horizontal="left" vertical="top" indent="1"/>
    </xf>
    <xf numFmtId="0" fontId="44" fillId="0" borderId="0" xfId="36" applyFont="1" applyFill="1" applyBorder="1" applyAlignment="1" applyProtection="1">
      <alignment horizontal="left" vertical="top" wrapText="1"/>
    </xf>
    <xf numFmtId="0" fontId="14" fillId="0" borderId="0" xfId="0" applyNumberFormat="1" applyFont="1" applyFill="1" applyBorder="1" applyAlignment="1">
      <alignment horizontal="left" vertical="top"/>
    </xf>
    <xf numFmtId="0" fontId="35" fillId="0" borderId="0" xfId="0" applyNumberFormat="1" applyFont="1" applyFill="1" applyBorder="1" applyAlignment="1">
      <alignment horizontal="left" vertical="top" indent="2"/>
    </xf>
    <xf numFmtId="0" fontId="45" fillId="0" borderId="0" xfId="0" quotePrefix="1" applyNumberFormat="1" applyFont="1" applyFill="1" applyBorder="1" applyAlignment="1">
      <alignment horizontal="left" vertical="top" wrapText="1" indent="1"/>
    </xf>
    <xf numFmtId="0" fontId="45" fillId="0" borderId="0" xfId="37" quotePrefix="1" applyNumberFormat="1" applyFont="1" applyFill="1" applyBorder="1" applyAlignment="1">
      <alignment horizontal="left" vertical="top" wrapText="1" indent="1"/>
    </xf>
    <xf numFmtId="0" fontId="45" fillId="0" borderId="0" xfId="37" quotePrefix="1" applyNumberFormat="1" applyFont="1" applyFill="1" applyBorder="1" applyAlignment="1">
      <alignment horizontal="left" vertical="top" indent="1"/>
    </xf>
    <xf numFmtId="0" fontId="94" fillId="0" borderId="0" xfId="37" quotePrefix="1" applyNumberFormat="1" applyFont="1" applyFill="1" applyBorder="1" applyAlignment="1">
      <alignment horizontal="left" vertical="top" wrapText="1" indent="1"/>
    </xf>
    <xf numFmtId="0" fontId="33" fillId="0" borderId="0" xfId="37" applyNumberFormat="1" applyFont="1" applyFill="1" applyBorder="1" applyAlignment="1">
      <alignment horizontal="left" vertical="top" indent="1"/>
    </xf>
    <xf numFmtId="0" fontId="33" fillId="0" borderId="0" xfId="37" applyNumberFormat="1" applyFont="1" applyFill="1" applyBorder="1" applyAlignment="1">
      <alignment horizontal="left" vertical="top" indent="2"/>
    </xf>
    <xf numFmtId="0" fontId="35" fillId="0" borderId="0" xfId="36" applyFont="1" applyFill="1" applyBorder="1" applyAlignment="1" applyProtection="1">
      <alignment horizontal="left" vertical="top"/>
    </xf>
    <xf numFmtId="0" fontId="35" fillId="0" borderId="0" xfId="36" applyFont="1" applyFill="1" applyBorder="1" applyAlignment="1">
      <alignment horizontal="left" vertical="top"/>
    </xf>
    <xf numFmtId="0" fontId="36" fillId="0" borderId="0" xfId="36" applyFont="1" applyFill="1" applyBorder="1" applyAlignment="1" applyProtection="1">
      <alignment horizontal="left" vertical="top" indent="2"/>
    </xf>
    <xf numFmtId="0" fontId="44" fillId="0" borderId="0" xfId="36" applyFont="1" applyFill="1" applyBorder="1" applyAlignment="1" applyProtection="1">
      <alignment horizontal="left" vertical="top"/>
    </xf>
    <xf numFmtId="0" fontId="51" fillId="0" borderId="0" xfId="36" applyFont="1" applyFill="1" applyBorder="1" applyAlignment="1" applyProtection="1">
      <alignment horizontal="left" vertical="top" indent="1"/>
    </xf>
    <xf numFmtId="0" fontId="51" fillId="0" borderId="0" xfId="36" applyFont="1" applyFill="1" applyBorder="1" applyAlignment="1" applyProtection="1">
      <alignment horizontal="left" vertical="top" indent="2"/>
    </xf>
    <xf numFmtId="0" fontId="36" fillId="0" borderId="0" xfId="36" applyFont="1" applyFill="1" applyBorder="1" applyAlignment="1" applyProtection="1">
      <alignment horizontal="left" vertical="top"/>
    </xf>
    <xf numFmtId="0" fontId="44" fillId="0" borderId="0" xfId="37" applyFont="1" applyFill="1" applyBorder="1" applyAlignment="1">
      <alignment horizontal="left" vertical="top"/>
    </xf>
    <xf numFmtId="0" fontId="80" fillId="0" borderId="0" xfId="36" applyFont="1" applyFill="1" applyBorder="1" applyAlignment="1" applyProtection="1">
      <alignment horizontal="left" vertical="top" indent="1"/>
    </xf>
    <xf numFmtId="0" fontId="79" fillId="0" borderId="0" xfId="0" applyFont="1" applyFill="1" applyBorder="1" applyAlignment="1">
      <alignment horizontal="left" vertical="top"/>
    </xf>
    <xf numFmtId="0" fontId="44" fillId="0" borderId="0" xfId="0" applyNumberFormat="1" applyFont="1" applyFill="1" applyAlignment="1">
      <alignment horizontal="left" vertical="top"/>
    </xf>
    <xf numFmtId="0" fontId="53" fillId="0" borderId="0" xfId="43" applyFont="1" applyFill="1" applyBorder="1" applyAlignment="1">
      <alignment wrapText="1"/>
    </xf>
    <xf numFmtId="0" fontId="45" fillId="0" borderId="0" xfId="36" applyNumberFormat="1" applyFont="1" applyFill="1" applyBorder="1" applyAlignment="1" applyProtection="1">
      <alignment horizontal="left" vertical="top" wrapText="1" indent="2"/>
    </xf>
    <xf numFmtId="0" fontId="106" fillId="0" borderId="0" xfId="36" applyNumberFormat="1" applyFont="1" applyFill="1" applyBorder="1" applyAlignment="1" applyProtection="1">
      <alignment horizontal="left" vertical="top" wrapText="1"/>
    </xf>
    <xf numFmtId="0" fontId="44" fillId="0" borderId="0" xfId="0" applyFont="1" applyFill="1" applyBorder="1" applyAlignment="1">
      <alignment vertical="top" wrapText="1"/>
    </xf>
    <xf numFmtId="0" fontId="84" fillId="0" borderId="0" xfId="36" applyNumberFormat="1" applyFont="1" applyFill="1" applyBorder="1" applyAlignment="1" applyProtection="1">
      <alignment horizontal="left" vertical="top" indent="1"/>
    </xf>
    <xf numFmtId="49" fontId="45" fillId="0" borderId="0" xfId="0" quotePrefix="1" applyNumberFormat="1" applyFont="1" applyFill="1" applyAlignment="1">
      <alignment horizontal="left" vertical="top" indent="2"/>
    </xf>
    <xf numFmtId="0" fontId="36" fillId="0" borderId="0" xfId="0" applyFont="1" applyFill="1" applyAlignment="1">
      <alignment horizontal="left" indent="1"/>
    </xf>
    <xf numFmtId="0" fontId="51" fillId="0" borderId="0" xfId="36" applyFont="1" applyFill="1" applyBorder="1" applyAlignment="1" applyProtection="1">
      <alignment horizontal="left" vertical="top" indent="3"/>
    </xf>
    <xf numFmtId="0" fontId="107" fillId="0" borderId="0" xfId="36" applyFont="1" applyFill="1" applyBorder="1" applyAlignment="1" applyProtection="1">
      <alignment horizontal="left" vertical="top" indent="2"/>
    </xf>
    <xf numFmtId="0" fontId="51" fillId="0" borderId="0" xfId="36" applyFont="1" applyFill="1" applyBorder="1" applyAlignment="1" applyProtection="1">
      <alignment horizontal="left" vertical="top" indent="4"/>
    </xf>
    <xf numFmtId="49" fontId="45" fillId="0" borderId="0" xfId="37" applyNumberFormat="1" applyFont="1" applyFill="1" applyBorder="1" applyAlignment="1">
      <alignment horizontal="left" vertical="top" wrapText="1" indent="1"/>
    </xf>
    <xf numFmtId="0" fontId="14" fillId="0" borderId="0" xfId="37" applyNumberFormat="1" applyFont="1" applyFill="1" applyBorder="1" applyAlignment="1">
      <alignment horizontal="left" vertical="top" indent="3"/>
    </xf>
    <xf numFmtId="0" fontId="44" fillId="0" borderId="0" xfId="43" applyFont="1" applyFill="1" applyAlignment="1">
      <alignment vertical="top" wrapText="1"/>
    </xf>
    <xf numFmtId="0" fontId="36" fillId="0" borderId="0" xfId="36" applyNumberFormat="1" applyFont="1" applyFill="1" applyBorder="1" applyAlignment="1" applyProtection="1">
      <alignment horizontal="left" vertical="top" wrapText="1" indent="2"/>
    </xf>
    <xf numFmtId="0" fontId="35" fillId="0" borderId="0" xfId="43" applyFont="1" applyFill="1" applyAlignment="1">
      <alignment wrapText="1"/>
    </xf>
    <xf numFmtId="0" fontId="84" fillId="0" borderId="0" xfId="36" applyNumberFormat="1" applyFont="1" applyFill="1" applyBorder="1" applyAlignment="1" applyProtection="1">
      <alignment horizontal="left" vertical="top" wrapText="1" indent="2"/>
    </xf>
    <xf numFmtId="0" fontId="40" fillId="0" borderId="0" xfId="151" applyNumberFormat="1" applyFont="1" applyFill="1" applyAlignment="1">
      <alignment horizontal="left" vertical="top"/>
    </xf>
    <xf numFmtId="0" fontId="42" fillId="0" borderId="0" xfId="151" applyNumberFormat="1" applyFont="1" applyFill="1" applyAlignment="1">
      <alignment horizontal="left" vertical="top" indent="1"/>
    </xf>
    <xf numFmtId="49" fontId="45" fillId="0" borderId="0" xfId="37" applyNumberFormat="1" applyFont="1" applyFill="1" applyBorder="1" applyAlignment="1">
      <alignment horizontal="left" wrapText="1" indent="1"/>
    </xf>
    <xf numFmtId="0" fontId="42" fillId="0" borderId="0" xfId="151" applyNumberFormat="1" applyFont="1" applyFill="1" applyAlignment="1">
      <alignment horizontal="left" vertical="top" wrapText="1" indent="1"/>
    </xf>
    <xf numFmtId="0" fontId="42" fillId="0" borderId="0" xfId="37" applyNumberFormat="1" applyFont="1" applyFill="1" applyBorder="1" applyAlignment="1">
      <alignment horizontal="left" vertical="top"/>
    </xf>
    <xf numFmtId="0" fontId="45" fillId="0" borderId="0" xfId="36" applyNumberFormat="1" applyFont="1" applyFill="1" applyBorder="1" applyAlignment="1" applyProtection="1">
      <alignment horizontal="left" vertical="top" indent="4"/>
    </xf>
    <xf numFmtId="0" fontId="36" fillId="0" borderId="0" xfId="36" applyNumberFormat="1" applyFont="1" applyFill="1" applyBorder="1" applyAlignment="1" applyProtection="1">
      <alignment horizontal="left"/>
    </xf>
    <xf numFmtId="0" fontId="45" fillId="0" borderId="0" xfId="36" applyNumberFormat="1" applyFont="1" applyFill="1" applyBorder="1" applyAlignment="1" applyProtection="1">
      <alignment horizontal="left" vertical="top" indent="5"/>
    </xf>
    <xf numFmtId="0" fontId="45" fillId="0" borderId="0" xfId="36" applyNumberFormat="1" applyFont="1" applyFill="1" applyBorder="1" applyAlignment="1" applyProtection="1">
      <alignment horizontal="left" vertical="top" indent="7"/>
    </xf>
    <xf numFmtId="0" fontId="106" fillId="0" borderId="0" xfId="37" applyNumberFormat="1" applyFont="1" applyFill="1" applyBorder="1" applyAlignment="1">
      <alignment horizontal="left" vertical="top"/>
    </xf>
    <xf numFmtId="0" fontId="45" fillId="0" borderId="0" xfId="0" quotePrefix="1" applyNumberFormat="1" applyFont="1" applyFill="1" applyAlignment="1">
      <alignment horizontal="left" wrapText="1" indent="1"/>
    </xf>
    <xf numFmtId="0" fontId="14" fillId="0" borderId="0" xfId="0" applyFont="1" applyFill="1" applyAlignment="1"/>
    <xf numFmtId="0" fontId="33" fillId="0" borderId="0" xfId="36" applyNumberFormat="1" applyFont="1" applyFill="1" applyBorder="1" applyAlignment="1" applyProtection="1">
      <alignment horizontal="left" vertical="top" wrapText="1" indent="4"/>
    </xf>
    <xf numFmtId="0" fontId="44" fillId="0" borderId="0" xfId="0" applyNumberFormat="1" applyFont="1" applyFill="1" applyAlignment="1">
      <alignment horizontal="left" vertical="top" wrapText="1"/>
    </xf>
    <xf numFmtId="0" fontId="14" fillId="0" borderId="0" xfId="31" applyNumberFormat="1" applyFont="1" applyFill="1" applyBorder="1" applyAlignment="1" applyProtection="1">
      <alignment horizontal="left" vertical="top" wrapText="1"/>
    </xf>
    <xf numFmtId="0" fontId="81" fillId="0" borderId="0" xfId="31" quotePrefix="1" applyNumberFormat="1" applyFont="1" applyFill="1" applyBorder="1" applyAlignment="1" applyProtection="1">
      <alignment horizontal="left" vertical="top" wrapText="1" indent="1"/>
    </xf>
    <xf numFmtId="0" fontId="14" fillId="0" borderId="0" xfId="0" applyNumberFormat="1" applyFont="1" applyFill="1" applyAlignment="1">
      <alignment horizontal="left" vertical="top" wrapText="1"/>
    </xf>
    <xf numFmtId="0" fontId="45" fillId="0" borderId="0" xfId="36" quotePrefix="1" applyNumberFormat="1" applyFont="1" applyFill="1" applyBorder="1" applyAlignment="1" applyProtection="1">
      <alignment horizontal="left" indent="1"/>
    </xf>
    <xf numFmtId="0" fontId="36" fillId="0" borderId="0" xfId="0" applyNumberFormat="1" applyFont="1" applyFill="1" applyAlignment="1">
      <alignment horizontal="left" vertical="top"/>
    </xf>
    <xf numFmtId="0" fontId="85" fillId="0" borderId="0" xfId="36" applyNumberFormat="1" applyFont="1" applyFill="1" applyBorder="1" applyAlignment="1" applyProtection="1">
      <alignment horizontal="left" vertical="top" indent="2"/>
    </xf>
    <xf numFmtId="0" fontId="51" fillId="0" borderId="0" xfId="36" applyNumberFormat="1" applyFont="1" applyFill="1" applyBorder="1" applyAlignment="1" applyProtection="1">
      <alignment horizontal="left" indent="1"/>
    </xf>
    <xf numFmtId="0" fontId="80" fillId="0" borderId="0" xfId="36" applyNumberFormat="1" applyFont="1" applyFill="1" applyBorder="1" applyAlignment="1" applyProtection="1">
      <alignment horizontal="left" vertical="top" indent="2"/>
    </xf>
    <xf numFmtId="49" fontId="81" fillId="0" borderId="0" xfId="0" quotePrefix="1" applyNumberFormat="1" applyFont="1" applyFill="1" applyBorder="1" applyAlignment="1">
      <alignment horizontal="left" indent="1"/>
    </xf>
    <xf numFmtId="0" fontId="14" fillId="0" borderId="0" xfId="36" applyNumberFormat="1" applyFont="1" applyFill="1" applyBorder="1" applyAlignment="1" applyProtection="1">
      <alignment horizontal="left" vertical="top" indent="2"/>
    </xf>
    <xf numFmtId="0" fontId="106" fillId="0" borderId="0" xfId="36" applyNumberFormat="1" applyFont="1" applyFill="1" applyBorder="1" applyAlignment="1" applyProtection="1">
      <alignment horizontal="left" vertical="top"/>
    </xf>
    <xf numFmtId="0" fontId="35" fillId="0" borderId="0" xfId="36" applyNumberFormat="1" applyFont="1" applyFill="1" applyBorder="1" applyAlignment="1" applyProtection="1">
      <alignment horizontal="left" vertical="top" wrapText="1"/>
    </xf>
    <xf numFmtId="0" fontId="36" fillId="0" borderId="0" xfId="36" applyFont="1" applyFill="1" applyBorder="1" applyAlignment="1" applyProtection="1">
      <alignment horizontal="left" vertical="top" wrapText="1" indent="1"/>
    </xf>
    <xf numFmtId="0" fontId="35" fillId="0" borderId="0" xfId="36" applyNumberFormat="1" applyFont="1" applyFill="1" applyBorder="1" applyAlignment="1">
      <alignment horizontal="left" vertical="top" wrapText="1"/>
    </xf>
    <xf numFmtId="0" fontId="36" fillId="0" borderId="0" xfId="36" applyNumberFormat="1" applyFont="1" applyFill="1" applyBorder="1" applyAlignment="1" applyProtection="1">
      <alignment horizontal="left" vertical="top" wrapText="1" indent="1"/>
    </xf>
    <xf numFmtId="0" fontId="36" fillId="0" borderId="0" xfId="36" applyNumberFormat="1" applyFont="1" applyFill="1" applyBorder="1" applyAlignment="1" applyProtection="1">
      <alignment horizontal="left" vertical="top" wrapText="1" indent="3"/>
    </xf>
    <xf numFmtId="0" fontId="40" fillId="0" borderId="0" xfId="0" applyNumberFormat="1" applyFont="1" applyFill="1" applyBorder="1" applyAlignment="1">
      <alignment horizontal="left" vertical="top" wrapText="1"/>
    </xf>
    <xf numFmtId="0" fontId="42" fillId="0" borderId="0" xfId="0" applyNumberFormat="1" applyFont="1" applyFill="1" applyBorder="1" applyAlignment="1">
      <alignment horizontal="left" vertical="top" wrapText="1" indent="1"/>
    </xf>
    <xf numFmtId="0" fontId="35" fillId="0" borderId="0" xfId="0" applyNumberFormat="1" applyFont="1" applyFill="1" applyBorder="1" applyAlignment="1">
      <alignment horizontal="left" vertical="top" wrapText="1" indent="2"/>
    </xf>
    <xf numFmtId="0" fontId="45" fillId="0" borderId="0" xfId="37" quotePrefix="1" applyNumberFormat="1" applyFont="1" applyFill="1" applyBorder="1" applyAlignment="1">
      <alignment horizontal="left" wrapText="1" indent="1"/>
    </xf>
    <xf numFmtId="0" fontId="51" fillId="0" borderId="0" xfId="36" applyNumberFormat="1" applyFont="1" applyFill="1" applyBorder="1" applyAlignment="1" applyProtection="1">
      <alignment horizontal="left" vertical="top" wrapText="1" indent="1"/>
    </xf>
    <xf numFmtId="0" fontId="36" fillId="0" borderId="0" xfId="36" applyNumberFormat="1" applyFont="1" applyFill="1" applyBorder="1" applyAlignment="1" applyProtection="1">
      <alignment horizontal="left" vertical="top" indent="3"/>
    </xf>
    <xf numFmtId="0" fontId="45" fillId="0" borderId="0" xfId="37" applyNumberFormat="1" applyFont="1" applyFill="1" applyBorder="1" applyAlignment="1">
      <alignment horizontal="left" vertical="top" wrapText="1" indent="1"/>
    </xf>
    <xf numFmtId="0" fontId="14" fillId="0" borderId="0" xfId="31" applyNumberFormat="1" applyFont="1" applyFill="1" applyBorder="1" applyAlignment="1" applyProtection="1">
      <alignment horizontal="left" vertical="top" wrapText="1" indent="3"/>
    </xf>
    <xf numFmtId="0" fontId="36" fillId="0" borderId="0" xfId="36" applyNumberFormat="1" applyFont="1" applyFill="1" applyBorder="1" applyAlignment="1" applyProtection="1">
      <alignment horizontal="left" vertical="top"/>
    </xf>
    <xf numFmtId="0" fontId="33" fillId="0" borderId="0" xfId="36" applyNumberFormat="1" applyFont="1" applyFill="1" applyAlignment="1">
      <alignment horizontal="left" vertical="top" wrapText="1" indent="2"/>
    </xf>
    <xf numFmtId="0" fontId="33" fillId="0" borderId="0" xfId="36" applyNumberFormat="1" applyFont="1" applyFill="1" applyBorder="1" applyAlignment="1" applyProtection="1">
      <alignment horizontal="left" vertical="top" wrapText="1"/>
    </xf>
    <xf numFmtId="0" fontId="33" fillId="0" borderId="0" xfId="36" applyNumberFormat="1" applyFont="1" applyFill="1" applyAlignment="1">
      <alignment horizontal="left" vertical="top" indent="2"/>
    </xf>
    <xf numFmtId="0" fontId="33" fillId="0" borderId="0" xfId="31" applyNumberFormat="1" applyFont="1" applyFill="1" applyBorder="1" applyAlignment="1" applyProtection="1">
      <alignment horizontal="left" vertical="top" wrapText="1" indent="5"/>
    </xf>
    <xf numFmtId="0" fontId="35" fillId="0" borderId="0" xfId="43" applyNumberFormat="1" applyFont="1" applyFill="1" applyAlignment="1">
      <alignment horizontal="left" vertical="top" indent="2"/>
    </xf>
    <xf numFmtId="0" fontId="14" fillId="0" borderId="0" xfId="36" applyNumberFormat="1" applyFont="1" applyFill="1" applyAlignment="1">
      <alignment horizontal="left" vertical="top" wrapText="1" indent="4"/>
    </xf>
    <xf numFmtId="0" fontId="44" fillId="0" borderId="0" xfId="36" applyNumberFormat="1" applyFont="1" applyFill="1" applyBorder="1" applyAlignment="1" applyProtection="1">
      <alignment vertical="top" wrapText="1"/>
    </xf>
    <xf numFmtId="0" fontId="36" fillId="0" borderId="0" xfId="37" quotePrefix="1" applyNumberFormat="1" applyFont="1" applyFill="1" applyBorder="1" applyAlignment="1">
      <alignment horizontal="left" vertical="top" wrapText="1" indent="1"/>
    </xf>
    <xf numFmtId="0" fontId="40" fillId="0" borderId="0" xfId="37" applyNumberFormat="1" applyFont="1" applyFill="1" applyBorder="1" applyAlignment="1">
      <alignment horizontal="left" vertical="top"/>
    </xf>
    <xf numFmtId="49" fontId="51" fillId="0" borderId="0" xfId="37" applyNumberFormat="1" applyFont="1" applyFill="1" applyBorder="1" applyAlignment="1">
      <alignment horizontal="left" wrapText="1" indent="1"/>
    </xf>
    <xf numFmtId="0" fontId="35" fillId="0" borderId="0" xfId="0" applyNumberFormat="1" applyFont="1" applyFill="1" applyAlignment="1">
      <alignment horizontal="left" vertical="top" wrapText="1" indent="2"/>
    </xf>
    <xf numFmtId="0" fontId="51" fillId="0" borderId="0" xfId="36" applyNumberFormat="1" applyFont="1" applyFill="1" applyBorder="1" applyAlignment="1" applyProtection="1">
      <alignment horizontal="left" vertical="top" wrapText="1" indent="3"/>
    </xf>
    <xf numFmtId="0" fontId="33" fillId="0" borderId="0" xfId="36" applyNumberFormat="1" applyFont="1" applyFill="1" applyBorder="1" applyAlignment="1" applyProtection="1">
      <alignment horizontal="left" vertical="top"/>
    </xf>
    <xf numFmtId="0" fontId="42" fillId="0" borderId="0" xfId="36" applyNumberFormat="1" applyFont="1" applyFill="1" applyBorder="1" applyAlignment="1" applyProtection="1">
      <alignment horizontal="left" vertical="top" wrapText="1" indent="1"/>
    </xf>
    <xf numFmtId="0" fontId="35" fillId="0" borderId="0" xfId="36" applyNumberFormat="1" applyFont="1" applyFill="1" applyBorder="1" applyAlignment="1" applyProtection="1">
      <alignment horizontal="left" vertical="top" indent="2"/>
    </xf>
    <xf numFmtId="49" fontId="45" fillId="0" borderId="0" xfId="36" quotePrefix="1" applyNumberFormat="1" applyFont="1" applyFill="1" applyBorder="1" applyAlignment="1" applyProtection="1">
      <alignment horizontal="left" indent="1"/>
    </xf>
    <xf numFmtId="0" fontId="44" fillId="0" borderId="0" xfId="36" applyNumberFormat="1" applyFont="1" applyFill="1" applyBorder="1" applyAlignment="1">
      <alignment horizontal="left" vertical="top" wrapText="1"/>
    </xf>
    <xf numFmtId="0" fontId="51" fillId="0" borderId="0" xfId="36" applyNumberFormat="1" applyFont="1" applyFill="1" applyBorder="1" applyAlignment="1" applyProtection="1">
      <alignment horizontal="left" vertical="top"/>
    </xf>
    <xf numFmtId="0" fontId="33" fillId="0" borderId="0" xfId="36" applyNumberFormat="1" applyFont="1" applyFill="1" applyBorder="1" applyAlignment="1" applyProtection="1">
      <alignment horizontal="left" vertical="top" wrapText="1" indent="3"/>
    </xf>
    <xf numFmtId="0" fontId="40" fillId="0" borderId="0" xfId="43" applyNumberFormat="1" applyFont="1" applyFill="1" applyAlignment="1">
      <alignment horizontal="left" vertical="top" wrapText="1"/>
    </xf>
    <xf numFmtId="0" fontId="42" fillId="0" borderId="0" xfId="43" applyNumberFormat="1" applyFont="1" applyFill="1" applyAlignment="1">
      <alignment horizontal="left" vertical="top" wrapText="1" indent="1"/>
    </xf>
    <xf numFmtId="0" fontId="35" fillId="0" borderId="0" xfId="43" applyNumberFormat="1" applyFont="1" applyFill="1" applyAlignment="1">
      <alignment horizontal="left" vertical="top" wrapText="1" indent="2"/>
    </xf>
    <xf numFmtId="0" fontId="14" fillId="0" borderId="0" xfId="36" applyNumberFormat="1" applyFont="1" applyFill="1" applyBorder="1" applyAlignment="1" applyProtection="1">
      <alignment horizontal="left" vertical="top" indent="3"/>
    </xf>
    <xf numFmtId="0" fontId="40" fillId="0" borderId="0" xfId="0" applyNumberFormat="1" applyFont="1" applyFill="1" applyAlignment="1">
      <alignment horizontal="left" vertical="top" wrapText="1"/>
    </xf>
    <xf numFmtId="0" fontId="35" fillId="0" borderId="0" xfId="37" applyNumberFormat="1" applyFont="1" applyFill="1" applyBorder="1" applyAlignment="1">
      <alignment horizontal="left" vertical="top"/>
    </xf>
    <xf numFmtId="0" fontId="51" fillId="0" borderId="0" xfId="36" applyNumberFormat="1" applyFont="1" applyFill="1" applyBorder="1" applyAlignment="1" applyProtection="1">
      <alignment horizontal="left" vertical="top" indent="7"/>
    </xf>
    <xf numFmtId="0" fontId="35" fillId="0" borderId="0" xfId="37" applyFont="1" applyFill="1" applyBorder="1" applyAlignment="1">
      <alignment horizontal="left" vertical="top"/>
    </xf>
    <xf numFmtId="0" fontId="45" fillId="0" borderId="0" xfId="36" applyFont="1" applyFill="1" applyBorder="1" applyAlignment="1" applyProtection="1">
      <alignment horizontal="left" vertical="top" indent="1"/>
    </xf>
    <xf numFmtId="0" fontId="33" fillId="0" borderId="0" xfId="35" applyNumberFormat="1" applyFont="1" applyFill="1" applyBorder="1" applyAlignment="1" applyProtection="1">
      <alignment horizontal="left" vertical="top"/>
    </xf>
    <xf numFmtId="0" fontId="14" fillId="0" borderId="0" xfId="36" applyNumberFormat="1" applyFont="1" applyFill="1" applyBorder="1" applyAlignment="1" applyProtection="1">
      <alignment horizontal="left" vertical="top" wrapText="1" indent="2"/>
    </xf>
    <xf numFmtId="0" fontId="35" fillId="0" borderId="0" xfId="37" applyNumberFormat="1" applyFont="1" applyFill="1" applyBorder="1" applyAlignment="1">
      <alignment horizontal="left" vertical="top" indent="2"/>
    </xf>
    <xf numFmtId="0" fontId="14" fillId="0" borderId="0" xfId="37" applyNumberFormat="1" applyFont="1" applyFill="1" applyBorder="1" applyAlignment="1">
      <alignment horizontal="left" vertical="top" indent="4"/>
    </xf>
    <xf numFmtId="0" fontId="14" fillId="0" borderId="0" xfId="37" applyNumberFormat="1" applyFont="1" applyFill="1" applyBorder="1" applyAlignment="1">
      <alignment horizontal="left" vertical="top" wrapText="1" indent="4"/>
    </xf>
    <xf numFmtId="0" fontId="14" fillId="0" borderId="0" xfId="0" applyNumberFormat="1" applyFont="1" applyFill="1" applyAlignment="1">
      <alignment horizontal="left" vertical="top" indent="4"/>
    </xf>
    <xf numFmtId="0" fontId="43" fillId="0" borderId="0" xfId="0" applyNumberFormat="1" applyFont="1" applyFill="1" applyAlignment="1">
      <alignment horizontal="left" vertical="top"/>
    </xf>
    <xf numFmtId="0" fontId="41" fillId="0" borderId="0" xfId="36" applyFont="1" applyFill="1" applyBorder="1" applyAlignment="1" applyProtection="1">
      <alignment horizontal="left" vertical="top" indent="1"/>
    </xf>
    <xf numFmtId="0" fontId="43" fillId="0" borderId="0" xfId="36" applyNumberFormat="1" applyFont="1" applyFill="1" applyBorder="1" applyAlignment="1">
      <alignment horizontal="left"/>
    </xf>
    <xf numFmtId="0" fontId="36" fillId="0" borderId="0" xfId="36" applyNumberFormat="1" applyFont="1" applyFill="1" applyBorder="1" applyAlignment="1" applyProtection="1">
      <alignment horizontal="left" indent="1"/>
    </xf>
    <xf numFmtId="166" fontId="40" fillId="0" borderId="0" xfId="36" applyNumberFormat="1" applyFont="1" applyFill="1" applyBorder="1" applyAlignment="1">
      <alignment horizontal="left" wrapText="1"/>
    </xf>
    <xf numFmtId="0" fontId="43" fillId="0" borderId="0" xfId="36" applyFont="1" applyFill="1" applyBorder="1" applyAlignment="1" applyProtection="1">
      <alignment horizontal="left" vertical="top"/>
    </xf>
    <xf numFmtId="49" fontId="43" fillId="0" borderId="0" xfId="36" applyNumberFormat="1" applyFont="1" applyFill="1" applyBorder="1" applyAlignment="1">
      <alignment horizontal="left" vertical="top"/>
    </xf>
    <xf numFmtId="0" fontId="96" fillId="0" borderId="0" xfId="0" applyFont="1" applyFill="1" applyAlignment="1">
      <alignment horizontal="left" vertical="center" wrapText="1" indent="4"/>
    </xf>
    <xf numFmtId="0" fontId="43" fillId="0" borderId="0" xfId="36" applyNumberFormat="1" applyFont="1" applyFill="1" applyBorder="1" applyAlignment="1" applyProtection="1">
      <alignment horizontal="left" vertical="top" wrapText="1"/>
    </xf>
    <xf numFmtId="0" fontId="45" fillId="0" borderId="0" xfId="31" applyNumberFormat="1" applyFont="1" applyFill="1" applyBorder="1" applyAlignment="1" applyProtection="1">
      <alignment horizontal="left" vertical="top" wrapText="1" indent="1"/>
    </xf>
    <xf numFmtId="0" fontId="36" fillId="0" borderId="0" xfId="0" applyNumberFormat="1" applyFont="1" applyFill="1" applyAlignment="1">
      <alignment horizontal="left" vertical="top" indent="2"/>
    </xf>
    <xf numFmtId="3" fontId="107" fillId="0" borderId="0" xfId="36" applyNumberFormat="1" applyFont="1" applyFill="1" applyBorder="1" applyAlignment="1" applyProtection="1">
      <alignment vertical="top"/>
    </xf>
    <xf numFmtId="3" fontId="96" fillId="0" borderId="0" xfId="0" applyNumberFormat="1" applyFont="1" applyFill="1" applyAlignment="1">
      <alignment vertical="center" wrapText="1"/>
    </xf>
    <xf numFmtId="3" fontId="51" fillId="0" borderId="0" xfId="36" applyNumberFormat="1" applyFont="1" applyFill="1" applyBorder="1" applyAlignment="1" applyProtection="1"/>
    <xf numFmtId="0" fontId="14" fillId="0" borderId="0" xfId="43" applyFont="1" applyFill="1" applyBorder="1" applyAlignment="1">
      <alignment horizontal="left" vertical="top"/>
    </xf>
    <xf numFmtId="0" fontId="36" fillId="0" borderId="0" xfId="43" applyFont="1" applyFill="1" applyBorder="1" applyAlignment="1">
      <alignment horizontal="left" vertical="top" indent="3"/>
    </xf>
    <xf numFmtId="3" fontId="110" fillId="0" borderId="0" xfId="36" applyNumberFormat="1" applyFont="1" applyFill="1" applyBorder="1" applyAlignment="1" applyProtection="1">
      <alignment vertical="top"/>
    </xf>
    <xf numFmtId="3" fontId="111" fillId="0" borderId="0" xfId="36" applyNumberFormat="1" applyFont="1" applyFill="1" applyBorder="1" applyAlignment="1" applyProtection="1">
      <alignment vertical="top"/>
    </xf>
    <xf numFmtId="0" fontId="112" fillId="0" borderId="0" xfId="0" applyNumberFormat="1" applyFont="1" applyFill="1" applyBorder="1" applyAlignment="1">
      <alignment horizontal="left" vertical="top"/>
    </xf>
    <xf numFmtId="3" fontId="112" fillId="0" borderId="0" xfId="0" applyNumberFormat="1" applyFont="1" applyFill="1" applyBorder="1" applyAlignment="1">
      <alignment vertical="top"/>
    </xf>
    <xf numFmtId="0" fontId="110" fillId="0" borderId="0" xfId="36" applyNumberFormat="1" applyFont="1" applyFill="1" applyBorder="1" applyAlignment="1" applyProtection="1">
      <alignment horizontal="left" vertical="top" indent="2"/>
    </xf>
    <xf numFmtId="0" fontId="113" fillId="0" borderId="0" xfId="36" applyNumberFormat="1" applyFont="1" applyFill="1" applyBorder="1" applyAlignment="1" applyProtection="1">
      <alignment horizontal="left" vertical="top"/>
    </xf>
    <xf numFmtId="3" fontId="113" fillId="0" borderId="0" xfId="36" applyNumberFormat="1" applyFont="1" applyFill="1" applyBorder="1" applyAlignment="1" applyProtection="1">
      <alignment vertical="top"/>
    </xf>
    <xf numFmtId="0" fontId="110" fillId="0" borderId="0" xfId="36" applyNumberFormat="1" applyFont="1" applyFill="1" applyBorder="1" applyAlignment="1" applyProtection="1">
      <alignment horizontal="left" vertical="top" indent="3"/>
    </xf>
    <xf numFmtId="0" fontId="112" fillId="0" borderId="0" xfId="0" applyNumberFormat="1" applyFont="1" applyFill="1" applyAlignment="1">
      <alignment horizontal="left" vertical="top"/>
    </xf>
    <xf numFmtId="3" fontId="112" fillId="0" borderId="0" xfId="0" applyNumberFormat="1" applyFont="1" applyFill="1" applyAlignment="1">
      <alignment vertical="top"/>
    </xf>
    <xf numFmtId="0" fontId="45" fillId="0" borderId="0" xfId="0" applyFont="1" applyFill="1"/>
    <xf numFmtId="0" fontId="45" fillId="0" borderId="0" xfId="36" applyFont="1" applyFill="1" applyBorder="1" applyAlignment="1" applyProtection="1">
      <alignment horizontal="right" vertical="top"/>
    </xf>
    <xf numFmtId="0" fontId="51" fillId="0" borderId="0" xfId="36" applyNumberFormat="1" applyFont="1" applyFill="1" applyBorder="1" applyAlignment="1" applyProtection="1">
      <alignment horizontal="left" vertical="top" wrapText="1"/>
    </xf>
    <xf numFmtId="0" fontId="44" fillId="0" borderId="0" xfId="0" applyNumberFormat="1" applyFont="1" applyFill="1" applyAlignment="1">
      <alignment vertical="top" wrapText="1"/>
    </xf>
    <xf numFmtId="3" fontId="104" fillId="0" borderId="0" xfId="36" applyNumberFormat="1" applyFont="1" applyFill="1" applyBorder="1" applyAlignment="1" applyProtection="1">
      <alignment vertical="top"/>
    </xf>
    <xf numFmtId="0" fontId="14" fillId="0" borderId="0" xfId="0" applyFont="1" applyFill="1" applyAlignment="1">
      <alignment vertical="top"/>
    </xf>
    <xf numFmtId="0" fontId="81" fillId="0" borderId="0" xfId="31" applyNumberFormat="1" applyFont="1" applyFill="1" applyBorder="1" applyAlignment="1" applyProtection="1">
      <alignment horizontal="right" vertical="top" wrapText="1" indent="2"/>
    </xf>
    <xf numFmtId="3" fontId="80" fillId="0" borderId="0" xfId="31" applyNumberFormat="1" applyFont="1" applyFill="1" applyBorder="1" applyAlignment="1" applyProtection="1">
      <alignment vertical="top" wrapText="1"/>
    </xf>
    <xf numFmtId="3" fontId="53" fillId="0" borderId="0" xfId="0" applyNumberFormat="1" applyFont="1" applyFill="1" applyBorder="1" applyAlignment="1">
      <alignment vertical="top"/>
    </xf>
    <xf numFmtId="3" fontId="53" fillId="0" borderId="0" xfId="50" applyNumberFormat="1" applyFont="1" applyFill="1" applyBorder="1" applyAlignment="1">
      <alignment horizontal="right" vertical="top"/>
    </xf>
    <xf numFmtId="0" fontId="53" fillId="0" borderId="0" xfId="0" applyFont="1" applyFill="1" applyBorder="1" applyAlignment="1" applyProtection="1">
      <alignment vertical="top"/>
      <protection locked="0"/>
    </xf>
    <xf numFmtId="0" fontId="55" fillId="0" borderId="0" xfId="0" applyFont="1"/>
    <xf numFmtId="166" fontId="100" fillId="0" borderId="13" xfId="271" applyNumberFormat="1" applyFont="1" applyFill="1" applyBorder="1" applyAlignment="1">
      <alignment horizontal="right" vertical="top" wrapText="1"/>
    </xf>
    <xf numFmtId="0" fontId="35" fillId="0" borderId="0" xfId="0" applyFont="1" applyFill="1" applyBorder="1" applyAlignment="1">
      <alignment horizontal="left" vertical="top"/>
    </xf>
    <xf numFmtId="0" fontId="14" fillId="0" borderId="0" xfId="272" applyNumberFormat="1" applyFont="1" applyFill="1" applyBorder="1" applyAlignment="1">
      <alignment horizontal="left" vertical="top"/>
    </xf>
    <xf numFmtId="166" fontId="100" fillId="0" borderId="0" xfId="35" applyNumberFormat="1" applyFont="1" applyFill="1" applyBorder="1" applyAlignment="1">
      <alignment horizontal="left" vertical="top"/>
    </xf>
    <xf numFmtId="0" fontId="41" fillId="0" borderId="0" xfId="0" applyFont="1" applyFill="1" applyBorder="1" applyAlignment="1">
      <alignment horizontal="left" vertical="top"/>
    </xf>
    <xf numFmtId="3" fontId="115" fillId="0" borderId="0" xfId="0" applyNumberFormat="1" applyFont="1" applyFill="1" applyBorder="1"/>
    <xf numFmtId="3" fontId="116" fillId="0" borderId="0" xfId="0" applyNumberFormat="1" applyFont="1" applyFill="1" applyBorder="1"/>
    <xf numFmtId="0" fontId="45" fillId="28" borderId="0" xfId="36" applyFont="1" applyFill="1" applyBorder="1" applyAlignment="1" applyProtection="1">
      <alignment horizontal="right" vertical="top"/>
    </xf>
    <xf numFmtId="3" fontId="45" fillId="28" borderId="0" xfId="36" applyNumberFormat="1" applyFont="1" applyFill="1" applyBorder="1" applyAlignment="1" applyProtection="1">
      <alignment vertical="top"/>
    </xf>
    <xf numFmtId="3" fontId="35" fillId="0" borderId="0" xfId="36" applyNumberFormat="1" applyFont="1" applyFill="1" applyBorder="1" applyAlignment="1" applyProtection="1">
      <alignment vertical="top"/>
    </xf>
    <xf numFmtId="3" fontId="51" fillId="0" borderId="0" xfId="36" applyNumberFormat="1" applyFont="1" applyFill="1" applyBorder="1" applyAlignment="1" applyProtection="1">
      <alignment vertical="top"/>
    </xf>
    <xf numFmtId="3" fontId="35" fillId="0" borderId="0" xfId="0" applyNumberFormat="1" applyFont="1" applyFill="1" applyAlignment="1">
      <alignment vertical="top"/>
    </xf>
    <xf numFmtId="3" fontId="40" fillId="0" borderId="0" xfId="0" applyNumberFormat="1" applyFont="1" applyFill="1" applyAlignment="1">
      <alignment vertical="top"/>
    </xf>
    <xf numFmtId="3" fontId="36" fillId="0" borderId="0" xfId="36" applyNumberFormat="1" applyFont="1" applyFill="1" applyBorder="1" applyAlignment="1" applyProtection="1">
      <alignment vertical="top"/>
    </xf>
    <xf numFmtId="3" fontId="14" fillId="0" borderId="0" xfId="31" applyNumberFormat="1" applyFont="1" applyFill="1" applyBorder="1" applyAlignment="1" applyProtection="1">
      <alignment vertical="top"/>
    </xf>
    <xf numFmtId="3" fontId="35" fillId="0" borderId="0" xfId="0" applyNumberFormat="1" applyFont="1" applyFill="1" applyAlignment="1">
      <alignment vertical="top" wrapText="1"/>
    </xf>
    <xf numFmtId="3" fontId="45" fillId="0" borderId="0" xfId="36" applyNumberFormat="1" applyFont="1" applyFill="1" applyBorder="1" applyAlignment="1" applyProtection="1">
      <alignment vertical="top"/>
    </xf>
    <xf numFmtId="3" fontId="41" fillId="0" borderId="0" xfId="0" applyNumberFormat="1" applyFont="1" applyFill="1" applyAlignment="1">
      <alignment vertical="top"/>
    </xf>
    <xf numFmtId="3" fontId="14" fillId="0" borderId="0" xfId="36" applyNumberFormat="1" applyFont="1" applyFill="1" applyBorder="1" applyAlignment="1" applyProtection="1">
      <alignment vertical="top"/>
    </xf>
    <xf numFmtId="3" fontId="51" fillId="0" borderId="0" xfId="0" applyNumberFormat="1" applyFont="1" applyFill="1" applyBorder="1" applyAlignment="1"/>
    <xf numFmtId="0" fontId="0" fillId="0" borderId="0" xfId="0"/>
    <xf numFmtId="3" fontId="51" fillId="0" borderId="0" xfId="0" applyNumberFormat="1" applyFont="1" applyFill="1" applyBorder="1"/>
    <xf numFmtId="3" fontId="35" fillId="0" borderId="0" xfId="36" applyNumberFormat="1" applyFont="1" applyFill="1" applyBorder="1" applyAlignment="1" applyProtection="1">
      <alignment vertical="top"/>
    </xf>
    <xf numFmtId="3" fontId="51" fillId="0" borderId="0" xfId="36" applyNumberFormat="1" applyFont="1" applyFill="1" applyBorder="1" applyAlignment="1" applyProtection="1">
      <alignment vertical="top"/>
    </xf>
    <xf numFmtId="3" fontId="33" fillId="0" borderId="0" xfId="36" applyNumberFormat="1" applyFont="1" applyFill="1" applyBorder="1" applyAlignment="1" applyProtection="1">
      <alignment vertical="top"/>
    </xf>
    <xf numFmtId="3" fontId="36" fillId="0" borderId="0" xfId="36" applyNumberFormat="1" applyFont="1" applyFill="1" applyBorder="1" applyAlignment="1" applyProtection="1">
      <alignment vertical="top"/>
    </xf>
    <xf numFmtId="3" fontId="45" fillId="0" borderId="0" xfId="31" quotePrefix="1" applyNumberFormat="1" applyFont="1" applyFill="1" applyBorder="1" applyAlignment="1" applyProtection="1">
      <alignment vertical="top" wrapText="1"/>
    </xf>
    <xf numFmtId="3" fontId="14" fillId="0" borderId="0" xfId="36" applyNumberFormat="1" applyFont="1" applyFill="1" applyBorder="1" applyAlignment="1" applyProtection="1">
      <alignment vertical="top"/>
    </xf>
    <xf numFmtId="3" fontId="35" fillId="0" borderId="0" xfId="36" applyNumberFormat="1" applyFont="1" applyFill="1" applyBorder="1" applyAlignment="1" applyProtection="1">
      <alignment vertical="top" wrapText="1"/>
    </xf>
    <xf numFmtId="3" fontId="51" fillId="0" borderId="0" xfId="36" applyNumberFormat="1" applyFont="1" applyFill="1" applyBorder="1" applyAlignment="1" applyProtection="1">
      <alignment vertical="top" wrapText="1"/>
    </xf>
    <xf numFmtId="3" fontId="14" fillId="0" borderId="0" xfId="36" applyNumberFormat="1" applyFont="1" applyFill="1" applyBorder="1" applyAlignment="1" applyProtection="1">
      <alignment vertical="top" wrapText="1"/>
    </xf>
    <xf numFmtId="3" fontId="40" fillId="0" borderId="0" xfId="37" applyNumberFormat="1" applyFont="1" applyFill="1" applyBorder="1" applyAlignment="1">
      <alignment vertical="top"/>
    </xf>
    <xf numFmtId="3" fontId="14" fillId="0" borderId="0" xfId="0" applyNumberFormat="1" applyFont="1" applyFill="1" applyBorder="1" applyAlignment="1">
      <alignment vertical="top"/>
    </xf>
    <xf numFmtId="3" fontId="35" fillId="0" borderId="0" xfId="37" applyNumberFormat="1" applyFont="1" applyFill="1" applyBorder="1" applyAlignment="1">
      <alignment vertical="top" wrapText="1"/>
    </xf>
    <xf numFmtId="3" fontId="36" fillId="0" borderId="0" xfId="36" applyNumberFormat="1" applyFont="1" applyFill="1" applyBorder="1" applyAlignment="1" applyProtection="1"/>
    <xf numFmtId="3" fontId="35" fillId="0" borderId="0" xfId="37" applyNumberFormat="1" applyFont="1" applyFill="1" applyBorder="1" applyAlignment="1">
      <alignment vertical="top"/>
    </xf>
    <xf numFmtId="3" fontId="43" fillId="0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36" fillId="0" borderId="0" xfId="0" applyFont="1" applyFill="1" applyAlignment="1">
      <alignment vertical="top"/>
    </xf>
    <xf numFmtId="0" fontId="48" fillId="0" borderId="0" xfId="43" applyFont="1" applyFill="1" applyBorder="1" applyAlignment="1">
      <alignment horizontal="left" vertical="top"/>
    </xf>
    <xf numFmtId="0" fontId="44" fillId="0" borderId="0" xfId="36" applyNumberFormat="1" applyFont="1" applyFill="1" applyBorder="1" applyAlignment="1" applyProtection="1">
      <alignment horizontal="left" vertical="top" wrapText="1" indent="2"/>
    </xf>
    <xf numFmtId="0" fontId="33" fillId="0" borderId="0" xfId="31" applyNumberFormat="1" applyFont="1" applyFill="1" applyBorder="1" applyAlignment="1" applyProtection="1">
      <alignment horizontal="left" vertical="top" wrapText="1" indent="2"/>
    </xf>
    <xf numFmtId="0" fontId="103" fillId="0" borderId="0" xfId="36" applyNumberFormat="1" applyFont="1" applyFill="1" applyBorder="1" applyAlignment="1" applyProtection="1">
      <alignment vertical="top" wrapText="1"/>
    </xf>
    <xf numFmtId="3" fontId="14" fillId="0" borderId="0" xfId="36" applyNumberFormat="1" applyFont="1" applyFill="1" applyBorder="1" applyAlignment="1" applyProtection="1">
      <alignment horizontal="left" vertical="top" wrapText="1"/>
    </xf>
    <xf numFmtId="3" fontId="14" fillId="0" borderId="0" xfId="49" applyNumberFormat="1" applyFont="1" applyFill="1"/>
    <xf numFmtId="0" fontId="14" fillId="0" borderId="0" xfId="37" applyNumberFormat="1" applyFont="1" applyFill="1" applyBorder="1" applyAlignment="1">
      <alignment horizontal="left" vertical="top" wrapText="1"/>
    </xf>
    <xf numFmtId="3" fontId="36" fillId="0" borderId="0" xfId="148" applyNumberFormat="1" applyFont="1" applyAlignment="1">
      <alignment vertical="top"/>
    </xf>
    <xf numFmtId="3" fontId="47" fillId="0" borderId="0" xfId="43" applyNumberFormat="1" applyFont="1"/>
    <xf numFmtId="3" fontId="48" fillId="0" borderId="0" xfId="43" applyNumberFormat="1" applyFont="1"/>
    <xf numFmtId="0" fontId="48" fillId="0" borderId="0" xfId="43" applyFont="1" applyAlignment="1">
      <alignment horizontal="left" vertical="top" indent="3"/>
    </xf>
    <xf numFmtId="0" fontId="48" fillId="0" borderId="0" xfId="43" applyFont="1" applyAlignment="1">
      <alignment horizontal="left" vertical="top" wrapText="1" indent="3"/>
    </xf>
    <xf numFmtId="3" fontId="53" fillId="0" borderId="0" xfId="0" applyNumberFormat="1" applyFont="1" applyAlignment="1">
      <alignment horizontal="right" vertical="top"/>
    </xf>
    <xf numFmtId="0" fontId="96" fillId="0" borderId="0" xfId="0" applyFont="1" applyFill="1" applyAlignment="1">
      <alignment horizontal="left" vertical="center" wrapText="1" indent="5"/>
    </xf>
    <xf numFmtId="3" fontId="14" fillId="0" borderId="0" xfId="36" applyNumberFormat="1" applyFont="1" applyFill="1" applyBorder="1" applyAlignment="1" applyProtection="1">
      <alignment horizontal="right" vertical="top" wrapText="1"/>
    </xf>
    <xf numFmtId="0" fontId="46" fillId="0" borderId="0" xfId="0" applyFont="1" applyAlignment="1">
      <alignment horizontal="right"/>
    </xf>
    <xf numFmtId="0" fontId="47" fillId="0" borderId="0" xfId="43" applyFont="1"/>
    <xf numFmtId="9" fontId="46" fillId="0" borderId="0" xfId="150" applyFont="1" applyFill="1" applyBorder="1" applyAlignment="1">
      <alignment vertical="top"/>
    </xf>
    <xf numFmtId="9" fontId="14" fillId="0" borderId="0" xfId="150" applyFont="1" applyFill="1" applyBorder="1" applyAlignment="1">
      <alignment vertical="top"/>
    </xf>
    <xf numFmtId="9" fontId="36" fillId="0" borderId="0" xfId="150" applyFont="1" applyFill="1" applyBorder="1" applyAlignment="1">
      <alignment vertical="top"/>
    </xf>
    <xf numFmtId="9" fontId="47" fillId="0" borderId="0" xfId="150" applyFont="1" applyFill="1" applyBorder="1" applyAlignment="1">
      <alignment vertical="top"/>
    </xf>
    <xf numFmtId="9" fontId="48" fillId="0" borderId="0" xfId="150" applyFont="1" applyFill="1" applyBorder="1" applyAlignment="1">
      <alignment vertical="top"/>
    </xf>
    <xf numFmtId="9" fontId="35" fillId="0" borderId="0" xfId="150" applyFont="1" applyFill="1" applyBorder="1" applyAlignment="1">
      <alignment vertical="top"/>
    </xf>
    <xf numFmtId="9" fontId="36" fillId="0" borderId="0" xfId="150" applyFont="1" applyAlignment="1">
      <alignment vertical="top"/>
    </xf>
    <xf numFmtId="9" fontId="48" fillId="0" borderId="0" xfId="150" applyFont="1" applyFill="1" applyBorder="1" applyAlignment="1">
      <alignment vertical="top" wrapText="1"/>
    </xf>
    <xf numFmtId="9" fontId="58" fillId="0" borderId="0" xfId="150" applyFont="1" applyFill="1" applyBorder="1" applyAlignment="1">
      <alignment vertical="top"/>
    </xf>
    <xf numFmtId="9" fontId="83" fillId="0" borderId="0" xfId="150" applyFont="1" applyFill="1" applyBorder="1" applyAlignment="1">
      <alignment vertical="top"/>
    </xf>
    <xf numFmtId="9" fontId="47" fillId="0" borderId="0" xfId="150" applyFont="1" applyFill="1"/>
    <xf numFmtId="9" fontId="87" fillId="0" borderId="0" xfId="150" applyFont="1" applyFill="1"/>
    <xf numFmtId="9" fontId="35" fillId="0" borderId="0" xfId="150" applyFont="1" applyFill="1"/>
    <xf numFmtId="9" fontId="35" fillId="0" borderId="0" xfId="150" applyFont="1" applyFill="1" applyBorder="1" applyAlignment="1">
      <alignment horizontal="right" vertical="top"/>
    </xf>
    <xf numFmtId="9" fontId="53" fillId="0" borderId="0" xfId="150" applyFont="1" applyFill="1" applyBorder="1" applyAlignment="1">
      <alignment horizontal="right" vertical="top"/>
    </xf>
    <xf numFmtId="9" fontId="14" fillId="0" borderId="0" xfId="150" applyFont="1" applyFill="1" applyBorder="1" applyAlignment="1">
      <alignment horizontal="right" vertical="top"/>
    </xf>
    <xf numFmtId="9" fontId="53" fillId="0" borderId="0" xfId="150" applyFont="1" applyFill="1" applyBorder="1" applyAlignment="1">
      <alignment vertical="top"/>
    </xf>
    <xf numFmtId="9" fontId="44" fillId="0" borderId="0" xfId="150" applyFont="1" applyFill="1" applyBorder="1" applyAlignment="1">
      <alignment vertical="top"/>
    </xf>
    <xf numFmtId="9" fontId="14" fillId="0" borderId="0" xfId="150" applyFont="1" applyFill="1" applyBorder="1" applyAlignment="1" applyProtection="1">
      <alignment vertical="top"/>
      <protection locked="0"/>
    </xf>
    <xf numFmtId="9" fontId="14" fillId="0" borderId="0" xfId="150" applyFont="1" applyFill="1" applyAlignment="1">
      <alignment vertical="top"/>
    </xf>
    <xf numFmtId="9" fontId="0" fillId="0" borderId="0" xfId="150" applyFont="1"/>
    <xf numFmtId="0" fontId="44" fillId="0" borderId="0" xfId="36" applyFont="1" applyAlignment="1">
      <alignment vertical="top" wrapText="1"/>
    </xf>
    <xf numFmtId="0" fontId="44" fillId="0" borderId="0" xfId="36" applyFont="1" applyAlignment="1">
      <alignment vertical="top"/>
    </xf>
    <xf numFmtId="0" fontId="44" fillId="0" borderId="0" xfId="0" applyFont="1" applyAlignment="1">
      <alignment horizontal="left" vertical="top"/>
    </xf>
    <xf numFmtId="0" fontId="46" fillId="0" borderId="0" xfId="43" applyFont="1" applyAlignment="1">
      <alignment horizontal="left" vertical="top"/>
    </xf>
    <xf numFmtId="3" fontId="46" fillId="0" borderId="0" xfId="43" applyNumberFormat="1" applyFont="1" applyAlignment="1">
      <alignment vertical="top"/>
    </xf>
    <xf numFmtId="3" fontId="47" fillId="0" borderId="0" xfId="43" applyNumberFormat="1" applyFont="1" applyAlignment="1">
      <alignment vertical="top"/>
    </xf>
    <xf numFmtId="0" fontId="58" fillId="0" borderId="0" xfId="43" applyFont="1" applyAlignment="1">
      <alignment horizontal="left" vertical="top"/>
    </xf>
    <xf numFmtId="3" fontId="58" fillId="0" borderId="0" xfId="43" applyNumberFormat="1" applyFont="1" applyAlignment="1">
      <alignment vertical="top"/>
    </xf>
    <xf numFmtId="0" fontId="47" fillId="0" borderId="0" xfId="43" applyFont="1" applyAlignment="1">
      <alignment horizontal="left" vertical="top"/>
    </xf>
    <xf numFmtId="3" fontId="48" fillId="0" borderId="0" xfId="43" applyNumberFormat="1" applyFont="1" applyAlignment="1">
      <alignment vertical="top" wrapText="1"/>
    </xf>
    <xf numFmtId="3" fontId="89" fillId="0" borderId="0" xfId="43" applyNumberFormat="1" applyFont="1" applyAlignment="1">
      <alignment vertical="top" wrapText="1"/>
    </xf>
    <xf numFmtId="0" fontId="14" fillId="0" borderId="0" xfId="43" applyAlignment="1">
      <alignment horizontal="left" vertical="top"/>
    </xf>
    <xf numFmtId="0" fontId="36" fillId="0" borderId="0" xfId="43" applyFont="1" applyAlignment="1">
      <alignment horizontal="left" vertical="top" wrapText="1" indent="3"/>
    </xf>
    <xf numFmtId="3" fontId="36" fillId="0" borderId="0" xfId="43" applyNumberFormat="1" applyFont="1" applyAlignment="1">
      <alignment vertical="top" wrapText="1"/>
    </xf>
    <xf numFmtId="3" fontId="48" fillId="0" borderId="0" xfId="43" applyNumberFormat="1" applyFont="1" applyAlignment="1">
      <alignment vertical="top"/>
    </xf>
    <xf numFmtId="0" fontId="47" fillId="0" borderId="0" xfId="43" applyFont="1" applyAlignment="1">
      <alignment horizontal="left" vertical="top" wrapText="1"/>
    </xf>
    <xf numFmtId="3" fontId="47" fillId="0" borderId="0" xfId="43" applyNumberFormat="1" applyFont="1" applyAlignment="1">
      <alignment vertical="top" wrapText="1"/>
    </xf>
    <xf numFmtId="0" fontId="36" fillId="0" borderId="0" xfId="148" applyFont="1" applyAlignment="1">
      <alignment horizontal="left" vertical="top" indent="3"/>
    </xf>
    <xf numFmtId="0" fontId="47" fillId="0" borderId="0" xfId="43" applyFont="1" applyAlignment="1">
      <alignment horizontal="left"/>
    </xf>
    <xf numFmtId="0" fontId="107" fillId="0" borderId="0" xfId="36" applyFont="1" applyAlignment="1">
      <alignment horizontal="left" vertical="top" indent="2"/>
    </xf>
    <xf numFmtId="3" fontId="80" fillId="0" borderId="0" xfId="36" applyNumberFormat="1" applyFont="1" applyAlignment="1">
      <alignment vertical="top"/>
    </xf>
    <xf numFmtId="0" fontId="80" fillId="0" borderId="0" xfId="36" applyFont="1" applyAlignment="1">
      <alignment horizontal="left" vertical="top" indent="3"/>
    </xf>
    <xf numFmtId="3" fontId="35" fillId="0" borderId="0" xfId="0" applyNumberFormat="1" applyFont="1" applyAlignment="1">
      <alignment vertical="top"/>
    </xf>
    <xf numFmtId="3" fontId="51" fillId="0" borderId="0" xfId="36" applyNumberFormat="1" applyFont="1" applyAlignment="1">
      <alignment vertical="top"/>
    </xf>
    <xf numFmtId="3" fontId="51" fillId="0" borderId="0" xfId="36" applyNumberFormat="1" applyFont="1" applyAlignment="1">
      <alignment vertical="top" wrapText="1"/>
    </xf>
    <xf numFmtId="3" fontId="40" fillId="0" borderId="0" xfId="0" applyNumberFormat="1" applyFont="1" applyAlignment="1">
      <alignment vertical="top"/>
    </xf>
    <xf numFmtId="3" fontId="35" fillId="0" borderId="0" xfId="36" applyNumberFormat="1" applyFont="1" applyAlignment="1">
      <alignment vertical="top"/>
    </xf>
    <xf numFmtId="3" fontId="36" fillId="0" borderId="0" xfId="36" applyNumberFormat="1" applyFont="1" applyAlignment="1">
      <alignment vertical="top"/>
    </xf>
    <xf numFmtId="3" fontId="45" fillId="28" borderId="0" xfId="36" applyNumberFormat="1" applyFont="1" applyFill="1" applyAlignment="1">
      <alignment vertical="top"/>
    </xf>
    <xf numFmtId="0" fontId="51" fillId="0" borderId="0" xfId="36" applyFont="1" applyAlignment="1">
      <alignment horizontal="left" vertical="top" indent="1"/>
    </xf>
    <xf numFmtId="3" fontId="14" fillId="0" borderId="0" xfId="37" applyNumberFormat="1" applyFont="1" applyAlignment="1">
      <alignment vertical="top"/>
    </xf>
    <xf numFmtId="0" fontId="51" fillId="0" borderId="0" xfId="36" applyFont="1" applyAlignment="1">
      <alignment horizontal="left" vertical="top" indent="2"/>
    </xf>
    <xf numFmtId="3" fontId="14" fillId="0" borderId="0" xfId="43" applyNumberFormat="1" applyAlignment="1">
      <alignment vertical="top"/>
    </xf>
    <xf numFmtId="3" fontId="14" fillId="0" borderId="0" xfId="0" applyNumberFormat="1" applyFont="1" applyAlignment="1">
      <alignment vertical="top"/>
    </xf>
    <xf numFmtId="3" fontId="51" fillId="0" borderId="0" xfId="0" applyNumberFormat="1" applyFont="1" applyAlignment="1">
      <alignment vertical="top"/>
    </xf>
    <xf numFmtId="0" fontId="44" fillId="0" borderId="0" xfId="36" applyFont="1" applyAlignment="1">
      <alignment horizontal="left" vertical="top" wrapText="1"/>
    </xf>
    <xf numFmtId="3" fontId="47" fillId="0" borderId="0" xfId="0" applyNumberFormat="1" applyFont="1" applyAlignment="1">
      <alignment vertical="top"/>
    </xf>
    <xf numFmtId="3" fontId="48" fillId="0" borderId="0" xfId="0" applyNumberFormat="1" applyFont="1" applyAlignment="1">
      <alignment vertical="top"/>
    </xf>
    <xf numFmtId="3" fontId="35" fillId="0" borderId="0" xfId="148" applyNumberFormat="1" applyFont="1" applyAlignment="1">
      <alignment vertical="top"/>
    </xf>
    <xf numFmtId="3" fontId="36" fillId="0" borderId="0" xfId="35" applyNumberFormat="1" applyFont="1" applyAlignment="1">
      <alignment horizontal="right" vertical="top" wrapText="1"/>
    </xf>
    <xf numFmtId="0" fontId="40" fillId="0" borderId="0" xfId="0" applyFont="1" applyFill="1" applyBorder="1" applyAlignment="1">
      <alignment vertical="top"/>
    </xf>
    <xf numFmtId="0" fontId="46" fillId="0" borderId="0" xfId="0" applyFont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14" fontId="35" fillId="0" borderId="0" xfId="0" applyNumberFormat="1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right" vertical="top"/>
    </xf>
    <xf numFmtId="0" fontId="46" fillId="0" borderId="0" xfId="0" applyFont="1" applyFill="1" applyBorder="1" applyAlignment="1">
      <alignment vertical="top"/>
    </xf>
    <xf numFmtId="2" fontId="36" fillId="0" borderId="0" xfId="0" applyNumberFormat="1" applyFont="1" applyFill="1" applyBorder="1" applyAlignment="1">
      <alignment horizontal="left" vertical="top"/>
    </xf>
    <xf numFmtId="0" fontId="47" fillId="0" borderId="0" xfId="0" applyFont="1" applyFill="1" applyBorder="1" applyAlignment="1">
      <alignment vertical="top"/>
    </xf>
    <xf numFmtId="0" fontId="48" fillId="0" borderId="0" xfId="0" applyFont="1" applyFill="1" applyBorder="1" applyAlignment="1">
      <alignment horizontal="left" vertical="top"/>
    </xf>
    <xf numFmtId="2" fontId="48" fillId="0" borderId="0" xfId="0" applyNumberFormat="1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left" vertical="top"/>
    </xf>
    <xf numFmtId="3" fontId="46" fillId="0" borderId="0" xfId="0" applyNumberFormat="1" applyFont="1" applyAlignment="1">
      <alignment vertical="top"/>
    </xf>
    <xf numFmtId="3" fontId="14" fillId="0" borderId="0" xfId="148" applyNumberFormat="1" applyAlignment="1">
      <alignment vertical="top"/>
    </xf>
    <xf numFmtId="2" fontId="36" fillId="0" borderId="0" xfId="0" applyNumberFormat="1" applyFont="1" applyAlignment="1">
      <alignment horizontal="left" vertical="top" indent="2"/>
    </xf>
    <xf numFmtId="3" fontId="36" fillId="0" borderId="0" xfId="0" applyNumberFormat="1" applyFont="1" applyAlignment="1">
      <alignment vertical="top"/>
    </xf>
    <xf numFmtId="3" fontId="45" fillId="0" borderId="0" xfId="36" applyNumberFormat="1" applyFont="1" applyAlignment="1">
      <alignment vertical="top" wrapText="1"/>
    </xf>
    <xf numFmtId="3" fontId="36" fillId="0" borderId="0" xfId="0" applyNumberFormat="1" applyFont="1"/>
    <xf numFmtId="3" fontId="14" fillId="0" borderId="0" xfId="36" applyNumberFormat="1" applyFont="1" applyAlignment="1">
      <alignment vertical="top"/>
    </xf>
    <xf numFmtId="3" fontId="85" fillId="0" borderId="0" xfId="43" applyNumberFormat="1" applyFont="1" applyAlignment="1">
      <alignment vertical="top" wrapText="1"/>
    </xf>
    <xf numFmtId="3" fontId="36" fillId="0" borderId="0" xfId="43" applyNumberFormat="1" applyFont="1" applyAlignment="1">
      <alignment vertical="top"/>
    </xf>
    <xf numFmtId="3" fontId="14" fillId="0" borderId="0" xfId="43" applyNumberFormat="1" applyAlignment="1">
      <alignment vertical="top" wrapText="1"/>
    </xf>
    <xf numFmtId="3" fontId="47" fillId="0" borderId="0" xfId="0" applyNumberFormat="1" applyFont="1"/>
    <xf numFmtId="0" fontId="14" fillId="0" borderId="0" xfId="0" applyFont="1" applyAlignment="1">
      <alignment horizontal="left"/>
    </xf>
    <xf numFmtId="3" fontId="33" fillId="0" borderId="0" xfId="36" applyNumberFormat="1" applyFont="1" applyAlignment="1">
      <alignment vertical="top" wrapText="1"/>
    </xf>
    <xf numFmtId="3" fontId="45" fillId="0" borderId="0" xfId="36" applyNumberFormat="1" applyFont="1" applyFill="1" applyAlignment="1">
      <alignment vertical="top"/>
    </xf>
    <xf numFmtId="3" fontId="45" fillId="0" borderId="0" xfId="36" applyNumberFormat="1" applyFont="1" applyAlignment="1">
      <alignment vertical="top"/>
    </xf>
    <xf numFmtId="3" fontId="33" fillId="0" borderId="0" xfId="37" applyNumberFormat="1" applyFont="1" applyAlignment="1">
      <alignment vertical="top"/>
    </xf>
    <xf numFmtId="3" fontId="33" fillId="0" borderId="0" xfId="0" applyNumberFormat="1" applyFont="1" applyAlignment="1">
      <alignment vertical="top"/>
    </xf>
    <xf numFmtId="3" fontId="33" fillId="0" borderId="0" xfId="36" applyNumberFormat="1" applyFont="1" applyAlignment="1">
      <alignment vertical="top"/>
    </xf>
    <xf numFmtId="3" fontId="14" fillId="0" borderId="0" xfId="36" applyNumberFormat="1" applyFont="1" applyAlignment="1">
      <alignment vertical="top" wrapText="1"/>
    </xf>
    <xf numFmtId="3" fontId="45" fillId="0" borderId="0" xfId="37" applyNumberFormat="1" applyFont="1" applyAlignment="1">
      <alignment vertical="top" wrapText="1"/>
    </xf>
    <xf numFmtId="3" fontId="45" fillId="0" borderId="0" xfId="0" quotePrefix="1" applyNumberFormat="1" applyFont="1" applyAlignment="1">
      <alignment wrapText="1"/>
    </xf>
    <xf numFmtId="3" fontId="14" fillId="0" borderId="0" xfId="0" applyNumberFormat="1" applyFont="1" applyAlignment="1">
      <alignment vertical="top" wrapText="1"/>
    </xf>
    <xf numFmtId="0" fontId="41" fillId="0" borderId="0" xfId="0" applyFont="1" applyAlignment="1">
      <alignment horizontal="left" indent="2"/>
    </xf>
    <xf numFmtId="3" fontId="41" fillId="0" borderId="0" xfId="0" applyNumberFormat="1" applyFont="1"/>
    <xf numFmtId="0" fontId="36" fillId="0" borderId="0" xfId="0" applyFont="1" applyAlignment="1">
      <alignment horizontal="left" indent="4"/>
    </xf>
    <xf numFmtId="0" fontId="36" fillId="0" borderId="0" xfId="0" applyFont="1" applyAlignment="1">
      <alignment horizontal="left" wrapText="1" indent="4"/>
    </xf>
    <xf numFmtId="0" fontId="36" fillId="0" borderId="0" xfId="0" applyFont="1" applyAlignment="1">
      <alignment horizontal="left" wrapText="1" indent="6"/>
    </xf>
    <xf numFmtId="0" fontId="36" fillId="0" borderId="0" xfId="35" applyFont="1" applyAlignment="1">
      <alignment horizontal="left" indent="6"/>
    </xf>
    <xf numFmtId="0" fontId="35" fillId="0" borderId="0" xfId="0" applyFont="1" applyAlignment="1">
      <alignment horizontal="left" indent="1"/>
    </xf>
    <xf numFmtId="3" fontId="42" fillId="0" borderId="0" xfId="0" applyNumberFormat="1" applyFont="1"/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 indent="1"/>
    </xf>
    <xf numFmtId="3" fontId="43" fillId="0" borderId="10" xfId="0" applyNumberFormat="1" applyFont="1" applyBorder="1"/>
    <xf numFmtId="0" fontId="43" fillId="0" borderId="0" xfId="0" applyFont="1" applyAlignment="1">
      <alignment horizontal="left" indent="1"/>
    </xf>
    <xf numFmtId="3" fontId="43" fillId="0" borderId="0" xfId="0" applyNumberFormat="1" applyFont="1"/>
    <xf numFmtId="0" fontId="35" fillId="0" borderId="0" xfId="0" applyFont="1" applyAlignment="1">
      <alignment horizontal="left" indent="2"/>
    </xf>
    <xf numFmtId="0" fontId="44" fillId="0" borderId="0" xfId="0" applyFont="1" applyAlignment="1">
      <alignment horizontal="left" indent="6"/>
    </xf>
    <xf numFmtId="0" fontId="41" fillId="0" borderId="0" xfId="0" applyFont="1" applyAlignment="1">
      <alignment horizontal="left" indent="4"/>
    </xf>
    <xf numFmtId="0" fontId="41" fillId="0" borderId="0" xfId="0" applyFont="1" applyAlignment="1">
      <alignment horizontal="left" indent="1"/>
    </xf>
    <xf numFmtId="9" fontId="41" fillId="0" borderId="0" xfId="150" applyFont="1"/>
    <xf numFmtId="9" fontId="36" fillId="0" borderId="0" xfId="150" applyFont="1"/>
    <xf numFmtId="9" fontId="14" fillId="0" borderId="0" xfId="150" applyFont="1"/>
    <xf numFmtId="9" fontId="42" fillId="0" borderId="0" xfId="150" applyFont="1"/>
    <xf numFmtId="9" fontId="35" fillId="0" borderId="0" xfId="150" applyFont="1"/>
    <xf numFmtId="9" fontId="43" fillId="0" borderId="10" xfId="150" applyFont="1" applyBorder="1"/>
    <xf numFmtId="9" fontId="43" fillId="0" borderId="0" xfId="150" applyFont="1"/>
    <xf numFmtId="0" fontId="34" fillId="0" borderId="0" xfId="0" applyFont="1" applyAlignment="1">
      <alignment horizontal="left" wrapText="1"/>
    </xf>
    <xf numFmtId="14" fontId="35" fillId="0" borderId="0" xfId="0" applyNumberFormat="1" applyFont="1" applyAlignment="1">
      <alignment horizontal="left"/>
    </xf>
    <xf numFmtId="3" fontId="46" fillId="0" borderId="0" xfId="0" applyNumberFormat="1" applyFont="1"/>
    <xf numFmtId="3" fontId="40" fillId="0" borderId="0" xfId="36" applyNumberFormat="1" applyFont="1" applyAlignment="1">
      <alignment vertical="top"/>
    </xf>
    <xf numFmtId="3" fontId="45" fillId="0" borderId="0" xfId="37" quotePrefix="1" applyNumberFormat="1" applyFont="1" applyAlignment="1">
      <alignment vertical="top" wrapText="1"/>
    </xf>
    <xf numFmtId="3" fontId="45" fillId="0" borderId="0" xfId="37" quotePrefix="1" applyNumberFormat="1" applyFont="1" applyAlignment="1">
      <alignment vertical="top"/>
    </xf>
    <xf numFmtId="3" fontId="104" fillId="0" borderId="0" xfId="36" applyNumberFormat="1" applyFont="1" applyAlignment="1">
      <alignment vertical="top"/>
    </xf>
    <xf numFmtId="3" fontId="53" fillId="0" borderId="0" xfId="43" applyNumberFormat="1" applyFont="1" applyAlignment="1">
      <alignment wrapText="1"/>
    </xf>
    <xf numFmtId="0" fontId="44" fillId="0" borderId="0" xfId="37" applyFont="1" applyAlignment="1">
      <alignment horizontal="left" vertical="top"/>
    </xf>
    <xf numFmtId="0" fontId="44" fillId="0" borderId="0" xfId="36" applyFont="1" applyAlignment="1">
      <alignment horizontal="left" vertical="top"/>
    </xf>
    <xf numFmtId="3" fontId="48" fillId="0" borderId="0" xfId="43" applyNumberFormat="1" applyFont="1" applyAlignment="1">
      <alignment wrapText="1"/>
    </xf>
    <xf numFmtId="3" fontId="35" fillId="0" borderId="0" xfId="36" applyNumberFormat="1" applyFont="1" applyAlignment="1">
      <alignment vertical="top" wrapText="1"/>
    </xf>
    <xf numFmtId="3" fontId="36" fillId="0" borderId="0" xfId="36" applyNumberFormat="1" applyFont="1" applyAlignment="1">
      <alignment vertical="top" wrapText="1"/>
    </xf>
    <xf numFmtId="3" fontId="40" fillId="0" borderId="0" xfId="0" applyNumberFormat="1" applyFont="1" applyAlignment="1">
      <alignment vertical="top" wrapText="1"/>
    </xf>
    <xf numFmtId="3" fontId="35" fillId="0" borderId="0" xfId="0" applyNumberFormat="1" applyFont="1" applyAlignment="1">
      <alignment vertical="top" wrapText="1"/>
    </xf>
    <xf numFmtId="3" fontId="14" fillId="0" borderId="0" xfId="37" applyNumberFormat="1" applyFont="1" applyAlignment="1">
      <alignment vertical="top" wrapText="1"/>
    </xf>
    <xf numFmtId="3" fontId="35" fillId="0" borderId="0" xfId="37" applyNumberFormat="1" applyFont="1" applyAlignment="1">
      <alignment vertical="top" wrapText="1"/>
    </xf>
    <xf numFmtId="3" fontId="35" fillId="0" borderId="0" xfId="151" applyNumberFormat="1" applyFont="1" applyAlignment="1">
      <alignment vertical="top"/>
    </xf>
    <xf numFmtId="3" fontId="45" fillId="0" borderId="0" xfId="37" applyNumberFormat="1" applyFont="1" applyAlignment="1">
      <alignment wrapText="1"/>
    </xf>
    <xf numFmtId="3" fontId="45" fillId="0" borderId="0" xfId="37" quotePrefix="1" applyNumberFormat="1" applyFont="1" applyAlignment="1">
      <alignment wrapText="1"/>
    </xf>
    <xf numFmtId="3" fontId="35" fillId="0" borderId="0" xfId="43" applyNumberFormat="1" applyFont="1" applyAlignment="1">
      <alignment vertical="top"/>
    </xf>
    <xf numFmtId="3" fontId="14" fillId="0" borderId="0" xfId="43" applyNumberFormat="1"/>
    <xf numFmtId="3" fontId="53" fillId="0" borderId="0" xfId="31" applyNumberFormat="1" applyFont="1" applyFill="1" applyBorder="1" applyAlignment="1" applyProtection="1">
      <alignment vertical="top" wrapText="1"/>
    </xf>
    <xf numFmtId="3" fontId="47" fillId="0" borderId="0" xfId="148" applyNumberFormat="1" applyFont="1" applyAlignment="1">
      <alignment vertical="top"/>
    </xf>
    <xf numFmtId="3" fontId="48" fillId="0" borderId="0" xfId="148" applyNumberFormat="1" applyFont="1" applyAlignment="1">
      <alignment vertical="top" wrapText="1"/>
    </xf>
    <xf numFmtId="3" fontId="58" fillId="0" borderId="0" xfId="43" applyNumberFormat="1" applyFont="1" applyAlignment="1">
      <alignment vertical="top" wrapText="1"/>
    </xf>
    <xf numFmtId="3" fontId="52" fillId="0" borderId="0" xfId="43" applyNumberFormat="1" applyFont="1" applyAlignment="1">
      <alignment vertical="top"/>
    </xf>
    <xf numFmtId="0" fontId="36" fillId="0" borderId="0" xfId="36" applyFont="1" applyAlignment="1">
      <alignment horizontal="left" vertical="top" indent="1"/>
    </xf>
    <xf numFmtId="3" fontId="40" fillId="0" borderId="0" xfId="37" applyNumberFormat="1" applyFont="1" applyAlignment="1">
      <alignment vertical="top"/>
    </xf>
    <xf numFmtId="3" fontId="51" fillId="0" borderId="0" xfId="37" applyNumberFormat="1" applyFont="1" applyAlignment="1">
      <alignment wrapText="1"/>
    </xf>
    <xf numFmtId="3" fontId="111" fillId="0" borderId="0" xfId="36" applyNumberFormat="1" applyFont="1" applyAlignment="1">
      <alignment vertical="top"/>
    </xf>
    <xf numFmtId="3" fontId="45" fillId="0" borderId="0" xfId="36" quotePrefix="1" applyNumberFormat="1" applyFont="1"/>
    <xf numFmtId="3" fontId="40" fillId="0" borderId="0" xfId="43" applyNumberFormat="1" applyFont="1" applyAlignment="1">
      <alignment vertical="top" wrapText="1"/>
    </xf>
    <xf numFmtId="3" fontId="35" fillId="0" borderId="0" xfId="43" applyNumberFormat="1" applyFont="1" applyAlignment="1">
      <alignment vertical="top" wrapText="1"/>
    </xf>
    <xf numFmtId="3" fontId="36" fillId="0" borderId="0" xfId="36" applyNumberFormat="1" applyFont="1"/>
    <xf numFmtId="3" fontId="35" fillId="0" borderId="0" xfId="37" applyNumberFormat="1" applyFont="1" applyAlignment="1">
      <alignment vertical="top"/>
    </xf>
    <xf numFmtId="3" fontId="112" fillId="0" borderId="0" xfId="0" applyNumberFormat="1" applyFont="1" applyAlignment="1">
      <alignment vertical="top"/>
    </xf>
    <xf numFmtId="3" fontId="110" fillId="0" borderId="0" xfId="36" applyNumberFormat="1" applyFont="1" applyAlignment="1">
      <alignment vertical="top"/>
    </xf>
    <xf numFmtId="3" fontId="113" fillId="0" borderId="0" xfId="36" applyNumberFormat="1" applyFont="1" applyAlignment="1">
      <alignment vertical="top"/>
    </xf>
    <xf numFmtId="3" fontId="33" fillId="0" borderId="0" xfId="35" applyNumberFormat="1" applyFont="1" applyAlignment="1">
      <alignment vertical="top"/>
    </xf>
    <xf numFmtId="0" fontId="44" fillId="0" borderId="0" xfId="37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3" fontId="85" fillId="0" borderId="0" xfId="0" applyNumberFormat="1" applyFont="1" applyAlignment="1">
      <alignment vertical="top"/>
    </xf>
    <xf numFmtId="0" fontId="85" fillId="0" borderId="0" xfId="36" applyFont="1" applyAlignment="1">
      <alignment horizontal="left" vertical="top" indent="3"/>
    </xf>
    <xf numFmtId="3" fontId="55" fillId="0" borderId="0" xfId="0" applyNumberFormat="1" applyFont="1" applyAlignment="1">
      <alignment vertical="top"/>
    </xf>
    <xf numFmtId="0" fontId="51" fillId="0" borderId="0" xfId="36" applyFont="1" applyAlignment="1">
      <alignment horizontal="left" vertical="top" wrapText="1" indent="1"/>
    </xf>
    <xf numFmtId="3" fontId="55" fillId="0" borderId="0" xfId="36" applyNumberFormat="1" applyFont="1" applyAlignment="1">
      <alignment vertical="top"/>
    </xf>
    <xf numFmtId="0" fontId="45" fillId="0" borderId="0" xfId="36" applyFont="1" applyAlignment="1">
      <alignment horizontal="left" vertical="top" indent="1"/>
    </xf>
    <xf numFmtId="0" fontId="33" fillId="0" borderId="0" xfId="36" applyFont="1" applyAlignment="1">
      <alignment horizontal="left" vertical="top" indent="2"/>
    </xf>
    <xf numFmtId="3" fontId="79" fillId="0" borderId="0" xfId="36" applyNumberFormat="1" applyFont="1" applyAlignment="1">
      <alignment vertical="top" wrapText="1"/>
    </xf>
    <xf numFmtId="3" fontId="51" fillId="0" borderId="0" xfId="0" applyNumberFormat="1" applyFont="1"/>
    <xf numFmtId="0" fontId="95" fillId="0" borderId="0" xfId="36" applyFont="1" applyAlignment="1">
      <alignment horizontal="left" vertical="top"/>
    </xf>
    <xf numFmtId="3" fontId="95" fillId="0" borderId="0" xfId="36" applyNumberFormat="1" applyFont="1" applyAlignment="1">
      <alignment vertical="top"/>
    </xf>
    <xf numFmtId="0" fontId="42" fillId="0" borderId="0" xfId="36" applyFont="1" applyAlignment="1">
      <alignment horizontal="left" vertical="top" indent="1"/>
    </xf>
    <xf numFmtId="0" fontId="35" fillId="0" borderId="0" xfId="0" applyFont="1" applyAlignment="1">
      <alignment horizontal="left" vertical="top" indent="2"/>
    </xf>
    <xf numFmtId="0" fontId="51" fillId="0" borderId="0" xfId="36" applyFont="1" applyAlignment="1">
      <alignment horizontal="left" vertical="top" wrapText="1" indent="2"/>
    </xf>
    <xf numFmtId="3" fontId="81" fillId="0" borderId="0" xfId="0" quotePrefix="1" applyNumberFormat="1" applyFont="1"/>
    <xf numFmtId="0" fontId="88" fillId="0" borderId="0" xfId="36" applyFont="1" applyAlignment="1">
      <alignment horizontal="left" vertical="top"/>
    </xf>
    <xf numFmtId="3" fontId="88" fillId="0" borderId="0" xfId="36" applyNumberFormat="1" applyFont="1" applyAlignment="1">
      <alignment vertical="top"/>
    </xf>
    <xf numFmtId="49" fontId="94" fillId="0" borderId="0" xfId="0" quotePrefix="1" applyNumberFormat="1" applyFont="1" applyAlignment="1">
      <alignment horizontal="left" indent="1"/>
    </xf>
    <xf numFmtId="3" fontId="94" fillId="0" borderId="0" xfId="0" quotePrefix="1" applyNumberFormat="1" applyFont="1"/>
    <xf numFmtId="0" fontId="105" fillId="0" borderId="0" xfId="37" applyFont="1" applyAlignment="1">
      <alignment horizontal="left" vertical="top"/>
    </xf>
    <xf numFmtId="3" fontId="76" fillId="0" borderId="0" xfId="37" applyNumberFormat="1" applyFont="1" applyAlignment="1">
      <alignment vertical="top"/>
    </xf>
    <xf numFmtId="0" fontId="92" fillId="0" borderId="0" xfId="37" applyFont="1" applyAlignment="1">
      <alignment horizontal="left" vertical="top" indent="1"/>
    </xf>
    <xf numFmtId="3" fontId="92" fillId="0" borderId="0" xfId="37" applyNumberFormat="1" applyFont="1" applyAlignment="1">
      <alignment vertical="top"/>
    </xf>
    <xf numFmtId="0" fontId="33" fillId="0" borderId="0" xfId="37" applyFont="1" applyAlignment="1">
      <alignment horizontal="left" vertical="top" indent="1"/>
    </xf>
    <xf numFmtId="0" fontId="44" fillId="0" borderId="0" xfId="37" applyFont="1" applyAlignment="1">
      <alignment vertical="top" wrapText="1"/>
    </xf>
    <xf numFmtId="0" fontId="33" fillId="0" borderId="0" xfId="37" applyFont="1" applyAlignment="1">
      <alignment horizontal="left" vertical="top" indent="2"/>
    </xf>
    <xf numFmtId="3" fontId="94" fillId="0" borderId="0" xfId="0" quotePrefix="1" applyNumberFormat="1" applyFont="1" applyAlignment="1">
      <alignment vertical="top"/>
    </xf>
    <xf numFmtId="3" fontId="76" fillId="0" borderId="0" xfId="0" quotePrefix="1" applyNumberFormat="1" applyFont="1" applyAlignment="1">
      <alignment vertical="top"/>
    </xf>
    <xf numFmtId="3" fontId="93" fillId="0" borderId="0" xfId="36" applyNumberFormat="1" applyFont="1" applyAlignment="1">
      <alignment vertical="top"/>
    </xf>
    <xf numFmtId="3" fontId="14" fillId="0" borderId="0" xfId="0" quotePrefix="1" applyNumberFormat="1" applyFont="1" applyAlignment="1">
      <alignment vertical="top"/>
    </xf>
    <xf numFmtId="0" fontId="14" fillId="0" borderId="0" xfId="36" applyFont="1" applyAlignment="1">
      <alignment horizontal="left" vertical="top" indent="2"/>
    </xf>
    <xf numFmtId="3" fontId="14" fillId="0" borderId="0" xfId="0" quotePrefix="1" applyNumberFormat="1" applyFont="1" applyAlignment="1">
      <alignment vertical="top" wrapText="1"/>
    </xf>
    <xf numFmtId="3" fontId="81" fillId="0" borderId="0" xfId="0" quotePrefix="1" applyNumberFormat="1" applyFont="1" applyAlignment="1">
      <alignment vertical="top" wrapText="1"/>
    </xf>
    <xf numFmtId="3" fontId="45" fillId="0" borderId="0" xfId="0" quotePrefix="1" applyNumberFormat="1" applyFont="1" applyAlignment="1">
      <alignment vertical="top"/>
    </xf>
    <xf numFmtId="0" fontId="33" fillId="0" borderId="0" xfId="36" applyFont="1" applyAlignment="1">
      <alignment horizontal="left" vertical="top" indent="5"/>
    </xf>
    <xf numFmtId="3" fontId="45" fillId="0" borderId="0" xfId="0" applyNumberFormat="1" applyFont="1" applyAlignment="1">
      <alignment vertical="top" wrapText="1"/>
    </xf>
    <xf numFmtId="3" fontId="33" fillId="0" borderId="0" xfId="0" applyNumberFormat="1" applyFont="1"/>
    <xf numFmtId="0" fontId="44" fillId="0" borderId="0" xfId="0" applyFont="1" applyAlignment="1">
      <alignment wrapText="1"/>
    </xf>
    <xf numFmtId="3" fontId="41" fillId="0" borderId="0" xfId="0" applyNumberFormat="1" applyFont="1" applyAlignment="1">
      <alignment vertical="top"/>
    </xf>
    <xf numFmtId="3" fontId="41" fillId="0" borderId="0" xfId="36" applyNumberFormat="1" applyFont="1" applyAlignment="1">
      <alignment vertical="top"/>
    </xf>
    <xf numFmtId="3" fontId="78" fillId="0" borderId="0" xfId="0" applyNumberFormat="1" applyFont="1" applyFill="1"/>
    <xf numFmtId="0" fontId="45" fillId="0" borderId="0" xfId="0" applyFont="1" applyFill="1" applyAlignment="1">
      <alignment vertical="top"/>
    </xf>
    <xf numFmtId="0" fontId="35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51" fillId="0" borderId="0" xfId="36" applyFont="1" applyFill="1" applyAlignment="1">
      <alignment horizontal="left" vertical="top" indent="1"/>
    </xf>
    <xf numFmtId="3" fontId="51" fillId="0" borderId="0" xfId="36" applyNumberFormat="1" applyFont="1" applyFill="1" applyAlignment="1">
      <alignment vertical="top"/>
    </xf>
    <xf numFmtId="3" fontId="51" fillId="0" borderId="0" xfId="0" applyNumberFormat="1" applyFont="1" applyFill="1"/>
    <xf numFmtId="0" fontId="51" fillId="0" borderId="0" xfId="36" applyFont="1" applyFill="1" applyAlignment="1">
      <alignment horizontal="left" vertical="top" indent="2"/>
    </xf>
    <xf numFmtId="0" fontId="51" fillId="0" borderId="0" xfId="36" applyFont="1" applyFill="1" applyAlignment="1">
      <alignment horizontal="left" vertical="top" indent="3"/>
    </xf>
    <xf numFmtId="3" fontId="51" fillId="0" borderId="0" xfId="36" applyNumberFormat="1" applyFont="1" applyFill="1" applyAlignment="1">
      <alignment vertical="top" wrapText="1"/>
    </xf>
    <xf numFmtId="3" fontId="93" fillId="0" borderId="0" xfId="36" applyNumberFormat="1" applyFont="1" applyFill="1" applyAlignment="1">
      <alignment vertical="top"/>
    </xf>
    <xf numFmtId="0" fontId="45" fillId="0" borderId="0" xfId="36" applyFont="1" applyFill="1" applyAlignment="1">
      <alignment horizontal="left" vertical="top" indent="6"/>
    </xf>
    <xf numFmtId="0" fontId="45" fillId="0" borderId="0" xfId="36" applyFont="1" applyFill="1" applyAlignment="1">
      <alignment horizontal="left" vertical="top" indent="5"/>
    </xf>
    <xf numFmtId="0" fontId="45" fillId="0" borderId="0" xfId="36" applyFont="1" applyAlignment="1">
      <alignment horizontal="left" vertical="top" indent="3"/>
    </xf>
    <xf numFmtId="0" fontId="33" fillId="0" borderId="0" xfId="36" applyFont="1" applyAlignment="1">
      <alignment horizontal="left" vertical="top" wrapText="1" indent="2"/>
    </xf>
    <xf numFmtId="0" fontId="55" fillId="0" borderId="0" xfId="0" applyFont="1" applyBorder="1"/>
    <xf numFmtId="2" fontId="36" fillId="0" borderId="0" xfId="0" applyNumberFormat="1" applyFont="1" applyFill="1" applyBorder="1" applyAlignment="1">
      <alignment horizontal="left" vertical="top" indent="2"/>
    </xf>
    <xf numFmtId="2" fontId="48" fillId="0" borderId="0" xfId="0" applyNumberFormat="1" applyFont="1" applyFill="1" applyBorder="1" applyAlignment="1">
      <alignment horizontal="left" vertical="top" indent="2"/>
    </xf>
    <xf numFmtId="0" fontId="35" fillId="0" borderId="0" xfId="36" applyNumberFormat="1" applyFont="1" applyFill="1" applyBorder="1" applyAlignment="1" applyProtection="1">
      <alignment vertical="top"/>
    </xf>
    <xf numFmtId="0" fontId="44" fillId="0" borderId="0" xfId="37" quotePrefix="1" applyFont="1" applyAlignment="1">
      <alignment horizontal="left" vertical="top" wrapText="1"/>
    </xf>
    <xf numFmtId="3" fontId="36" fillId="0" borderId="0" xfId="37" quotePrefix="1" applyNumberFormat="1" applyFont="1" applyAlignment="1">
      <alignment vertical="top" wrapText="1"/>
    </xf>
    <xf numFmtId="3" fontId="0" fillId="0" borderId="0" xfId="0" applyNumberFormat="1" applyAlignment="1">
      <alignment vertical="top"/>
    </xf>
    <xf numFmtId="0" fontId="47" fillId="0" borderId="0" xfId="0" applyFont="1" applyFill="1" applyAlignment="1">
      <alignment vertical="top"/>
    </xf>
    <xf numFmtId="3" fontId="36" fillId="0" borderId="0" xfId="46" applyNumberFormat="1" applyFont="1" applyFill="1" applyBorder="1" applyAlignment="1">
      <alignment vertical="top"/>
    </xf>
    <xf numFmtId="0" fontId="122" fillId="0" borderId="0" xfId="36" applyFont="1" applyAlignment="1">
      <alignment horizontal="left" vertical="top"/>
    </xf>
    <xf numFmtId="0" fontId="47" fillId="0" borderId="0" xfId="0" applyFont="1" applyFill="1" applyBorder="1" applyAlignment="1">
      <alignment horizontal="left" vertical="top" indent="1"/>
    </xf>
    <xf numFmtId="2" fontId="36" fillId="0" borderId="0" xfId="0" applyNumberFormat="1" applyFont="1" applyFill="1" applyBorder="1" applyAlignment="1">
      <alignment horizontal="left" vertical="top" indent="3"/>
    </xf>
    <xf numFmtId="0" fontId="33" fillId="0" borderId="0" xfId="0" applyFont="1" applyFill="1" applyAlignment="1">
      <alignment horizontal="left" vertical="top" wrapText="1" indent="1"/>
    </xf>
    <xf numFmtId="0" fontId="44" fillId="0" borderId="0" xfId="0" applyFont="1" applyFill="1" applyBorder="1" applyAlignment="1">
      <alignment horizontal="left" indent="1"/>
    </xf>
    <xf numFmtId="0" fontId="14" fillId="0" borderId="0" xfId="0" applyFont="1" applyFill="1" applyAlignment="1" applyProtection="1">
      <alignment horizontal="left" vertical="top" wrapText="1" indent="4"/>
      <protection locked="0"/>
    </xf>
    <xf numFmtId="0" fontId="53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left" indent="1"/>
    </xf>
    <xf numFmtId="0" fontId="53" fillId="0" borderId="0" xfId="0" applyFont="1" applyFill="1" applyBorder="1"/>
    <xf numFmtId="0" fontId="44" fillId="0" borderId="0" xfId="0" applyFont="1" applyFill="1" applyBorder="1" applyAlignment="1">
      <alignment vertical="top"/>
    </xf>
    <xf numFmtId="9" fontId="14" fillId="0" borderId="0" xfId="150" applyFont="1" applyAlignment="1">
      <alignment vertical="top"/>
    </xf>
    <xf numFmtId="49" fontId="45" fillId="0" borderId="0" xfId="37" applyNumberFormat="1" applyFont="1" applyAlignment="1">
      <alignment horizontal="left" vertical="top" wrapText="1" indent="1"/>
    </xf>
    <xf numFmtId="3" fontId="14" fillId="27" borderId="0" xfId="0" applyNumberFormat="1" applyFont="1" applyFill="1" applyAlignment="1">
      <alignment vertical="top"/>
    </xf>
    <xf numFmtId="3" fontId="51" fillId="0" borderId="0" xfId="37" quotePrefix="1" applyNumberFormat="1" applyFont="1" applyAlignment="1">
      <alignment wrapText="1"/>
    </xf>
    <xf numFmtId="0" fontId="36" fillId="0" borderId="0" xfId="36" applyFont="1" applyAlignment="1">
      <alignment horizontal="left" vertical="top" indent="2"/>
    </xf>
    <xf numFmtId="0" fontId="33" fillId="0" borderId="0" xfId="0" applyFont="1" applyAlignment="1">
      <alignment horizontal="left" indent="2"/>
    </xf>
    <xf numFmtId="0" fontId="33" fillId="0" borderId="0" xfId="36" applyFont="1" applyAlignment="1">
      <alignment horizontal="left" vertical="top" indent="3"/>
    </xf>
    <xf numFmtId="0" fontId="42" fillId="0" borderId="0" xfId="36" applyFont="1" applyAlignment="1">
      <alignment horizontal="left" vertical="top" wrapText="1" indent="1"/>
    </xf>
    <xf numFmtId="0" fontId="35" fillId="0" borderId="0" xfId="36" applyFont="1" applyAlignment="1">
      <alignment horizontal="left" vertical="top" indent="2"/>
    </xf>
    <xf numFmtId="0" fontId="14" fillId="0" borderId="0" xfId="36" applyFont="1" applyAlignment="1">
      <alignment horizontal="left" vertical="top" wrapText="1" indent="2"/>
    </xf>
    <xf numFmtId="0" fontId="51" fillId="0" borderId="0" xfId="36" applyFont="1" applyAlignment="1">
      <alignment horizontal="left" vertical="top" indent="3"/>
    </xf>
    <xf numFmtId="3" fontId="43" fillId="0" borderId="0" xfId="36" applyNumberFormat="1" applyFont="1" applyAlignment="1">
      <alignment vertical="top"/>
    </xf>
    <xf numFmtId="3" fontId="35" fillId="0" borderId="0" xfId="0" applyNumberFormat="1" applyFont="1" applyFill="1" applyBorder="1" applyAlignment="1"/>
    <xf numFmtId="168" fontId="46" fillId="0" borderId="0" xfId="150" applyNumberFormat="1" applyFont="1"/>
    <xf numFmtId="168" fontId="47" fillId="0" borderId="0" xfId="150" applyNumberFormat="1" applyFont="1"/>
    <xf numFmtId="168" fontId="35" fillId="0" borderId="0" xfId="150" applyNumberFormat="1" applyFont="1"/>
    <xf numFmtId="0" fontId="35" fillId="0" borderId="0" xfId="37" applyFont="1" applyAlignment="1">
      <alignment horizontal="left" vertical="top"/>
    </xf>
    <xf numFmtId="0" fontId="0" fillId="0" borderId="0" xfId="0" applyAlignment="1">
      <alignment horizontal="right"/>
    </xf>
    <xf numFmtId="0" fontId="47" fillId="0" borderId="0" xfId="0" applyFont="1" applyAlignment="1">
      <alignment horizontal="left" indent="1"/>
    </xf>
    <xf numFmtId="2" fontId="36" fillId="0" borderId="0" xfId="0" applyNumberFormat="1" applyFont="1" applyAlignment="1">
      <alignment horizontal="left" indent="2"/>
    </xf>
    <xf numFmtId="2" fontId="36" fillId="0" borderId="0" xfId="0" applyNumberFormat="1" applyFont="1" applyAlignment="1">
      <alignment horizontal="left" vertical="top" indent="3"/>
    </xf>
    <xf numFmtId="2" fontId="36" fillId="0" borderId="0" xfId="0" applyNumberFormat="1" applyFont="1" applyAlignment="1">
      <alignment horizontal="left" indent="3"/>
    </xf>
    <xf numFmtId="0" fontId="14" fillId="0" borderId="0" xfId="0" applyFont="1" applyFill="1" applyBorder="1" applyAlignment="1">
      <alignment horizontal="left" vertical="top" indent="1"/>
    </xf>
    <xf numFmtId="2" fontId="14" fillId="0" borderId="0" xfId="0" applyNumberFormat="1" applyFont="1" applyAlignment="1">
      <alignment horizontal="left" indent="1"/>
    </xf>
    <xf numFmtId="3" fontId="51" fillId="35" borderId="0" xfId="36" applyNumberFormat="1" applyFont="1" applyFill="1" applyAlignment="1">
      <alignment vertical="top"/>
    </xf>
    <xf numFmtId="3" fontId="51" fillId="35" borderId="0" xfId="36" applyNumberFormat="1" applyFont="1" applyFill="1" applyBorder="1" applyAlignment="1" applyProtection="1">
      <alignment vertical="top"/>
    </xf>
    <xf numFmtId="3" fontId="45" fillId="35" borderId="0" xfId="36" applyNumberFormat="1" applyFont="1" applyFill="1" applyAlignment="1">
      <alignment vertical="top"/>
    </xf>
    <xf numFmtId="3" fontId="51" fillId="35" borderId="0" xfId="36" applyNumberFormat="1" applyFont="1" applyFill="1" applyAlignment="1">
      <alignment vertical="top" wrapText="1"/>
    </xf>
    <xf numFmtId="3" fontId="51" fillId="30" borderId="0" xfId="36" applyNumberFormat="1" applyFont="1" applyFill="1" applyAlignment="1">
      <alignment vertical="top"/>
    </xf>
    <xf numFmtId="3" fontId="51" fillId="30" borderId="0" xfId="36" applyNumberFormat="1" applyFont="1" applyFill="1" applyBorder="1" applyAlignment="1" applyProtection="1">
      <alignment vertical="top"/>
    </xf>
    <xf numFmtId="3" fontId="14" fillId="30" borderId="0" xfId="37" applyNumberFormat="1" applyFont="1" applyFill="1" applyAlignment="1">
      <alignment vertical="top"/>
    </xf>
    <xf numFmtId="0" fontId="53" fillId="0" borderId="0" xfId="0" applyFont="1" applyFill="1" applyBorder="1" applyAlignment="1">
      <alignment horizontal="left" vertical="top"/>
    </xf>
    <xf numFmtId="3" fontId="53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right" vertical="top"/>
    </xf>
    <xf numFmtId="168" fontId="14" fillId="0" borderId="0" xfId="150" applyNumberFormat="1" applyFont="1"/>
    <xf numFmtId="168" fontId="41" fillId="0" borderId="0" xfId="150" applyNumberFormat="1" applyFont="1"/>
    <xf numFmtId="168" fontId="36" fillId="0" borderId="0" xfId="150" applyNumberFormat="1" applyFont="1"/>
    <xf numFmtId="168" fontId="0" fillId="0" borderId="0" xfId="150" applyNumberFormat="1" applyFont="1" applyFill="1"/>
    <xf numFmtId="9" fontId="0" fillId="0" borderId="0" xfId="150" applyFont="1" applyBorder="1"/>
    <xf numFmtId="0" fontId="0" fillId="0" borderId="0" xfId="0" applyBorder="1" applyAlignment="1"/>
    <xf numFmtId="3" fontId="0" fillId="0" borderId="0" xfId="0" applyNumberFormat="1" applyBorder="1" applyAlignment="1"/>
    <xf numFmtId="3" fontId="53" fillId="0" borderId="0" xfId="0" applyNumberFormat="1" applyFont="1" applyFill="1" applyBorder="1" applyAlignment="1" applyProtection="1">
      <alignment vertical="top"/>
      <protection locked="0"/>
    </xf>
    <xf numFmtId="9" fontId="53" fillId="0" borderId="0" xfId="150" applyFont="1" applyFill="1" applyBorder="1" applyAlignment="1" applyProtection="1">
      <alignment vertical="top"/>
      <protection locked="0"/>
    </xf>
    <xf numFmtId="3" fontId="14" fillId="0" borderId="0" xfId="0" applyNumberFormat="1" applyFont="1" applyFill="1" applyBorder="1" applyAlignment="1" applyProtection="1">
      <alignment horizontal="right" vertical="top"/>
      <protection locked="0"/>
    </xf>
    <xf numFmtId="9" fontId="14" fillId="0" borderId="0" xfId="150" applyFont="1" applyFill="1" applyBorder="1" applyAlignment="1" applyProtection="1">
      <alignment horizontal="right" vertical="top"/>
      <protection locked="0"/>
    </xf>
    <xf numFmtId="3" fontId="53" fillId="0" borderId="0" xfId="50" applyNumberFormat="1" applyFont="1" applyFill="1" applyBorder="1" applyAlignment="1">
      <alignment vertical="top"/>
    </xf>
    <xf numFmtId="168" fontId="35" fillId="0" borderId="0" xfId="150" applyNumberFormat="1" applyFont="1" applyFill="1" applyBorder="1"/>
    <xf numFmtId="168" fontId="35" fillId="0" borderId="0" xfId="150" applyNumberFormat="1" applyFont="1" applyFill="1"/>
    <xf numFmtId="168" fontId="28" fillId="0" borderId="0" xfId="150" applyNumberFormat="1" applyFont="1" applyFill="1" applyBorder="1"/>
    <xf numFmtId="0" fontId="14" fillId="0" borderId="0" xfId="0" applyFont="1" applyAlignment="1">
      <alignment horizontal="right"/>
    </xf>
    <xf numFmtId="0" fontId="100" fillId="36" borderId="11" xfId="271" applyFont="1" applyFill="1" applyBorder="1" applyAlignment="1">
      <alignment horizontal="center" vertical="top" wrapText="1"/>
    </xf>
    <xf numFmtId="164" fontId="100" fillId="36" borderId="12" xfId="87" applyFont="1" applyFill="1" applyBorder="1" applyAlignment="1">
      <alignment horizontal="center" vertical="top" wrapText="1"/>
    </xf>
    <xf numFmtId="164" fontId="100" fillId="37" borderId="11" xfId="87" applyFont="1" applyFill="1" applyBorder="1" applyAlignment="1">
      <alignment horizontal="center" vertical="top" wrapText="1"/>
    </xf>
    <xf numFmtId="168" fontId="100" fillId="37" borderId="11" xfId="87" applyNumberFormat="1" applyFont="1" applyFill="1" applyBorder="1" applyAlignment="1">
      <alignment horizontal="center" vertical="top" wrapText="1"/>
    </xf>
    <xf numFmtId="164" fontId="100" fillId="34" borderId="11" xfId="87" applyFont="1" applyFill="1" applyBorder="1" applyAlignment="1">
      <alignment horizontal="center" vertical="top" wrapText="1"/>
    </xf>
    <xf numFmtId="168" fontId="100" fillId="34" borderId="11" xfId="87" applyNumberFormat="1" applyFont="1" applyFill="1" applyBorder="1" applyAlignment="1">
      <alignment horizontal="center" vertical="top" wrapText="1"/>
    </xf>
    <xf numFmtId="164" fontId="100" fillId="29" borderId="11" xfId="87" applyFont="1" applyFill="1" applyBorder="1" applyAlignment="1">
      <alignment horizontal="center" vertical="top" wrapText="1"/>
    </xf>
    <xf numFmtId="9" fontId="48" fillId="0" borderId="0" xfId="150" applyFont="1" applyAlignment="1">
      <alignment vertical="top"/>
    </xf>
    <xf numFmtId="9" fontId="47" fillId="0" borderId="0" xfId="150" applyFont="1" applyAlignment="1">
      <alignment vertical="top"/>
    </xf>
    <xf numFmtId="9" fontId="35" fillId="0" borderId="0" xfId="150" applyFont="1" applyAlignment="1">
      <alignment vertical="top"/>
    </xf>
    <xf numFmtId="9" fontId="36" fillId="0" borderId="0" xfId="150" applyFont="1" applyAlignment="1">
      <alignment horizontal="right" vertical="top" wrapText="1"/>
    </xf>
    <xf numFmtId="9" fontId="46" fillId="0" borderId="0" xfId="150" applyFont="1" applyAlignment="1">
      <alignment vertical="top"/>
    </xf>
    <xf numFmtId="9" fontId="48" fillId="0" borderId="0" xfId="150" applyFont="1" applyAlignment="1">
      <alignment vertical="top" wrapText="1"/>
    </xf>
    <xf numFmtId="9" fontId="47" fillId="0" borderId="0" xfId="150" applyFont="1" applyAlignment="1">
      <alignment vertical="top" wrapText="1"/>
    </xf>
    <xf numFmtId="9" fontId="85" fillId="0" borderId="0" xfId="150" applyFont="1" applyAlignment="1">
      <alignment vertical="top" wrapText="1"/>
    </xf>
    <xf numFmtId="9" fontId="58" fillId="0" borderId="0" xfId="150" applyFont="1" applyAlignment="1">
      <alignment vertical="top"/>
    </xf>
    <xf numFmtId="9" fontId="36" fillId="0" borderId="0" xfId="150" applyFont="1" applyAlignment="1">
      <alignment vertical="top" wrapText="1"/>
    </xf>
    <xf numFmtId="9" fontId="47" fillId="0" borderId="0" xfId="150" applyFont="1"/>
    <xf numFmtId="9" fontId="14" fillId="0" borderId="0" xfId="150" applyFont="1" applyAlignment="1">
      <alignment vertical="top" wrapText="1"/>
    </xf>
    <xf numFmtId="9" fontId="48" fillId="0" borderId="0" xfId="150" applyFont="1"/>
    <xf numFmtId="9" fontId="48" fillId="0" borderId="0" xfId="150" applyFont="1" applyAlignment="1">
      <alignment wrapText="1"/>
    </xf>
    <xf numFmtId="9" fontId="89" fillId="0" borderId="0" xfId="150" applyFont="1" applyAlignment="1">
      <alignment vertical="top" wrapText="1"/>
    </xf>
    <xf numFmtId="9" fontId="58" fillId="0" borderId="0" xfId="150" applyFont="1" applyAlignment="1">
      <alignment vertical="top" wrapText="1"/>
    </xf>
    <xf numFmtId="9" fontId="52" fillId="0" borderId="0" xfId="150" applyFont="1" applyAlignment="1">
      <alignment vertical="top"/>
    </xf>
    <xf numFmtId="0" fontId="53" fillId="0" borderId="0" xfId="0" applyFont="1" applyFill="1" applyBorder="1" applyAlignment="1">
      <alignment horizontal="left" vertical="top" indent="3"/>
    </xf>
    <xf numFmtId="3" fontId="53" fillId="0" borderId="0" xfId="0" applyNumberFormat="1" applyFont="1" applyFill="1" applyAlignment="1">
      <alignment horizontal="right" vertical="top"/>
    </xf>
    <xf numFmtId="0" fontId="53" fillId="0" borderId="0" xfId="0" applyFont="1" applyFill="1" applyBorder="1" applyAlignment="1">
      <alignment horizontal="left" vertical="top" wrapText="1" indent="4"/>
    </xf>
    <xf numFmtId="0" fontId="53" fillId="0" borderId="0" xfId="0" applyFont="1" applyFill="1" applyBorder="1" applyAlignment="1">
      <alignment horizontal="left" vertical="top" indent="4"/>
    </xf>
    <xf numFmtId="0" fontId="53" fillId="0" borderId="0" xfId="0" applyFont="1" applyFill="1" applyAlignment="1">
      <alignment horizontal="left" vertical="top" wrapText="1" indent="4"/>
    </xf>
    <xf numFmtId="0" fontId="53" fillId="0" borderId="0" xfId="0" applyFont="1" applyFill="1" applyAlignment="1">
      <alignment horizontal="left" vertical="top" indent="4"/>
    </xf>
    <xf numFmtId="9" fontId="53" fillId="0" borderId="0" xfId="150" applyFont="1" applyFill="1" applyAlignment="1">
      <alignment horizontal="right" vertical="top"/>
    </xf>
    <xf numFmtId="3" fontId="44" fillId="0" borderId="0" xfId="0" applyNumberFormat="1" applyFont="1" applyFill="1" applyAlignment="1">
      <alignment vertical="top"/>
    </xf>
    <xf numFmtId="3" fontId="14" fillId="0" borderId="0" xfId="43" applyNumberFormat="1" applyFont="1" applyFill="1" applyAlignment="1" applyProtection="1">
      <alignment horizontal="right" vertical="top"/>
      <protection locked="0"/>
    </xf>
    <xf numFmtId="3" fontId="53" fillId="0" borderId="0" xfId="0" applyNumberFormat="1" applyFont="1" applyFill="1" applyAlignment="1">
      <alignment vertical="top"/>
    </xf>
    <xf numFmtId="3" fontId="53" fillId="0" borderId="0" xfId="0" applyNumberFormat="1" applyFont="1" applyFill="1" applyAlignment="1" applyProtection="1">
      <alignment vertical="top"/>
      <protection locked="0"/>
    </xf>
    <xf numFmtId="3" fontId="14" fillId="0" borderId="0" xfId="0" applyNumberFormat="1" applyFont="1" applyFill="1" applyAlignment="1" applyProtection="1">
      <alignment horizontal="right" vertical="top"/>
      <protection locked="0"/>
    </xf>
    <xf numFmtId="3" fontId="53" fillId="0" borderId="0" xfId="151" applyNumberFormat="1" applyFont="1" applyFill="1" applyAlignment="1">
      <alignment horizontal="right" vertical="top"/>
    </xf>
    <xf numFmtId="3" fontId="53" fillId="0" borderId="0" xfId="151" applyNumberFormat="1" applyFont="1" applyFill="1" applyAlignment="1">
      <alignment horizontal="right"/>
    </xf>
    <xf numFmtId="3" fontId="53" fillId="0" borderId="0" xfId="0" applyNumberFormat="1" applyFont="1" applyFill="1" applyAlignment="1">
      <alignment horizontal="right"/>
    </xf>
    <xf numFmtId="3" fontId="33" fillId="0" borderId="0" xfId="0" applyNumberFormat="1" applyFont="1" applyFill="1" applyAlignment="1">
      <alignment horizontal="right" vertical="top"/>
    </xf>
    <xf numFmtId="3" fontId="33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 horizontal="left" vertical="top" wrapText="1"/>
    </xf>
    <xf numFmtId="9" fontId="53" fillId="0" borderId="0" xfId="150" applyFont="1" applyFill="1" applyBorder="1" applyAlignment="1">
      <alignment horizontal="right"/>
    </xf>
    <xf numFmtId="0" fontId="14" fillId="0" borderId="0" xfId="0" applyFont="1" applyFill="1" applyBorder="1" applyAlignment="1"/>
    <xf numFmtId="9" fontId="14" fillId="0" borderId="0" xfId="150" applyFont="1" applyFill="1" applyAlignment="1" applyProtection="1">
      <alignment horizontal="right" vertical="top"/>
      <protection locked="0"/>
    </xf>
    <xf numFmtId="9" fontId="53" fillId="0" borderId="0" xfId="150" applyFont="1" applyFill="1" applyAlignment="1">
      <alignment vertical="top"/>
    </xf>
    <xf numFmtId="9" fontId="44" fillId="0" borderId="0" xfId="150" applyFont="1" applyFill="1" applyAlignment="1">
      <alignment vertical="top"/>
    </xf>
    <xf numFmtId="9" fontId="53" fillId="0" borderId="0" xfId="150" applyFont="1" applyFill="1" applyAlignment="1" applyProtection="1">
      <alignment vertical="top"/>
      <protection locked="0"/>
    </xf>
    <xf numFmtId="9" fontId="53" fillId="0" borderId="0" xfId="150" applyFont="1" applyFill="1" applyAlignment="1">
      <alignment horizontal="right"/>
    </xf>
    <xf numFmtId="9" fontId="33" fillId="0" borderId="0" xfId="150" applyFont="1" applyFill="1" applyAlignment="1">
      <alignment horizontal="right" vertical="top"/>
    </xf>
    <xf numFmtId="9" fontId="33" fillId="0" borderId="0" xfId="150" applyFont="1" applyFill="1" applyAlignment="1">
      <alignment horizontal="right"/>
    </xf>
    <xf numFmtId="0" fontId="76" fillId="0" borderId="0" xfId="0" applyFont="1"/>
    <xf numFmtId="9" fontId="76" fillId="0" borderId="0" xfId="150" applyFont="1"/>
    <xf numFmtId="0" fontId="33" fillId="0" borderId="0" xfId="36" applyFont="1" applyAlignment="1">
      <alignment horizontal="left" vertical="top"/>
    </xf>
    <xf numFmtId="0" fontId="33" fillId="0" borderId="0" xfId="36" applyFont="1" applyAlignment="1">
      <alignment horizontal="left" vertical="top" wrapText="1"/>
    </xf>
    <xf numFmtId="0" fontId="40" fillId="0" borderId="0" xfId="36" applyFont="1" applyAlignment="1">
      <alignment horizontal="left" vertical="top"/>
    </xf>
    <xf numFmtId="0" fontId="44" fillId="0" borderId="0" xfId="0" applyFont="1" applyAlignment="1">
      <alignment vertical="top" wrapText="1"/>
    </xf>
    <xf numFmtId="9" fontId="35" fillId="0" borderId="0" xfId="150" applyFont="1" applyFill="1" applyBorder="1" applyAlignment="1" applyProtection="1">
      <alignment vertical="top"/>
    </xf>
    <xf numFmtId="9" fontId="36" fillId="0" borderId="0" xfId="150" applyFont="1" applyFill="1" applyBorder="1" applyAlignment="1" applyProtection="1">
      <alignment vertical="top"/>
    </xf>
    <xf numFmtId="9" fontId="45" fillId="28" borderId="0" xfId="150" applyFont="1" applyFill="1" applyBorder="1" applyAlignment="1" applyProtection="1">
      <alignment vertical="top"/>
    </xf>
    <xf numFmtId="9" fontId="14" fillId="0" borderId="0" xfId="150" applyFont="1" applyFill="1" applyBorder="1" applyAlignment="1" applyProtection="1">
      <alignment vertical="top"/>
    </xf>
    <xf numFmtId="9" fontId="51" fillId="0" borderId="0" xfId="150" applyFont="1" applyFill="1" applyBorder="1" applyAlignment="1" applyProtection="1">
      <alignment vertical="top"/>
    </xf>
    <xf numFmtId="9" fontId="80" fillId="0" borderId="0" xfId="150" applyFont="1" applyFill="1" applyBorder="1" applyAlignment="1" applyProtection="1">
      <alignment vertical="top"/>
    </xf>
    <xf numFmtId="9" fontId="79" fillId="0" borderId="0" xfId="150" applyFont="1" applyFill="1" applyBorder="1" applyAlignment="1">
      <alignment vertical="top"/>
    </xf>
    <xf numFmtId="9" fontId="43" fillId="0" borderId="0" xfId="150" applyFont="1" applyFill="1" applyBorder="1" applyAlignment="1">
      <alignment vertical="top"/>
    </xf>
    <xf numFmtId="9" fontId="45" fillId="0" borderId="0" xfId="150" applyFont="1" applyFill="1" applyBorder="1" applyAlignment="1" applyProtection="1">
      <alignment vertical="top"/>
    </xf>
    <xf numFmtId="9" fontId="45" fillId="0" borderId="0" xfId="150" applyFont="1" applyFill="1" applyAlignment="1">
      <alignment vertical="top"/>
    </xf>
    <xf numFmtId="9" fontId="51" fillId="0" borderId="0" xfId="150" applyFont="1" applyFill="1" applyAlignment="1">
      <alignment vertical="top"/>
    </xf>
    <xf numFmtId="9" fontId="104" fillId="0" borderId="0" xfId="150" applyFont="1" applyFill="1" applyBorder="1" applyAlignment="1" applyProtection="1">
      <alignment vertical="top"/>
    </xf>
    <xf numFmtId="9" fontId="45" fillId="28" borderId="0" xfId="150" applyFont="1" applyFill="1" applyAlignment="1">
      <alignment vertical="top"/>
    </xf>
    <xf numFmtId="9" fontId="51" fillId="0" borderId="0" xfId="150" applyFont="1" applyAlignment="1">
      <alignment vertical="top"/>
    </xf>
    <xf numFmtId="9" fontId="85" fillId="0" borderId="0" xfId="150" applyFont="1" applyAlignment="1">
      <alignment vertical="top"/>
    </xf>
    <xf numFmtId="9" fontId="33" fillId="0" borderId="0" xfId="150" applyFont="1" applyAlignment="1">
      <alignment vertical="top"/>
    </xf>
    <xf numFmtId="9" fontId="53" fillId="0" borderId="0" xfId="150" applyFont="1" applyAlignment="1">
      <alignment wrapText="1"/>
    </xf>
    <xf numFmtId="9" fontId="51" fillId="0" borderId="0" xfId="150" applyFont="1" applyAlignment="1">
      <alignment vertical="top" wrapText="1"/>
    </xf>
    <xf numFmtId="9" fontId="45" fillId="0" borderId="0" xfId="150" applyFont="1" applyAlignment="1">
      <alignment vertical="top" wrapText="1"/>
    </xf>
    <xf numFmtId="9" fontId="79" fillId="0" borderId="0" xfId="150" applyFont="1" applyAlignment="1">
      <alignment vertical="top" wrapText="1"/>
    </xf>
    <xf numFmtId="9" fontId="51" fillId="0" borderId="0" xfId="150" applyFont="1"/>
    <xf numFmtId="9" fontId="95" fillId="0" borderId="0" xfId="150" applyFont="1" applyAlignment="1">
      <alignment vertical="top"/>
    </xf>
    <xf numFmtId="9" fontId="14" fillId="0" borderId="0" xfId="150" applyFont="1" applyFill="1" applyBorder="1" applyAlignment="1" applyProtection="1">
      <alignment vertical="top" wrapText="1"/>
    </xf>
    <xf numFmtId="9" fontId="51" fillId="0" borderId="0" xfId="150" applyFont="1" applyFill="1" applyBorder="1" applyAlignment="1" applyProtection="1">
      <alignment vertical="top" wrapText="1"/>
    </xf>
    <xf numFmtId="9" fontId="80" fillId="0" borderId="0" xfId="150" applyFont="1" applyFill="1" applyBorder="1" applyAlignment="1" applyProtection="1">
      <alignment vertical="top" wrapText="1"/>
    </xf>
    <xf numFmtId="9" fontId="80" fillId="0" borderId="0" xfId="150" applyFont="1" applyAlignment="1">
      <alignment vertical="top"/>
    </xf>
    <xf numFmtId="9" fontId="81" fillId="0" borderId="0" xfId="150" quotePrefix="1" applyFont="1" applyAlignment="1">
      <alignment vertical="top" wrapText="1"/>
    </xf>
    <xf numFmtId="9" fontId="88" fillId="0" borderId="0" xfId="150" applyFont="1" applyAlignment="1">
      <alignment vertical="top"/>
    </xf>
    <xf numFmtId="9" fontId="94" fillId="0" borderId="0" xfId="150" quotePrefix="1" applyFont="1"/>
    <xf numFmtId="9" fontId="76" fillId="0" borderId="0" xfId="150" applyFont="1" applyAlignment="1">
      <alignment vertical="top"/>
    </xf>
    <xf numFmtId="9" fontId="92" fillId="0" borderId="0" xfId="150" applyFont="1" applyAlignment="1">
      <alignment vertical="top"/>
    </xf>
    <xf numFmtId="9" fontId="40" fillId="0" borderId="0" xfId="150" applyFont="1" applyAlignment="1">
      <alignment vertical="top"/>
    </xf>
    <xf numFmtId="9" fontId="45" fillId="0" borderId="0" xfId="150" quotePrefix="1" applyFont="1" applyAlignment="1">
      <alignment vertical="top"/>
    </xf>
    <xf numFmtId="9" fontId="94" fillId="0" borderId="0" xfId="150" quotePrefix="1" applyFont="1" applyAlignment="1">
      <alignment vertical="top"/>
    </xf>
    <xf numFmtId="9" fontId="76" fillId="0" borderId="0" xfId="150" quotePrefix="1" applyFont="1" applyAlignment="1">
      <alignment vertical="top"/>
    </xf>
    <xf numFmtId="9" fontId="93" fillId="0" borderId="0" xfId="150" applyFont="1" applyAlignment="1">
      <alignment vertical="top"/>
    </xf>
    <xf numFmtId="9" fontId="14" fillId="0" borderId="0" xfId="150" quotePrefix="1" applyFont="1" applyAlignment="1">
      <alignment vertical="top" wrapText="1"/>
    </xf>
    <xf numFmtId="9" fontId="14" fillId="0" borderId="0" xfId="150" quotePrefix="1" applyFont="1" applyAlignment="1">
      <alignment vertical="top"/>
    </xf>
    <xf numFmtId="9" fontId="45" fillId="0" borderId="0" xfId="150" quotePrefix="1" applyFont="1" applyFill="1" applyBorder="1" applyAlignment="1">
      <alignment vertical="top"/>
    </xf>
    <xf numFmtId="9" fontId="45" fillId="0" borderId="0" xfId="150" quotePrefix="1" applyFont="1" applyFill="1" applyAlignment="1">
      <alignment vertical="top"/>
    </xf>
    <xf numFmtId="9" fontId="36" fillId="0" borderId="0" xfId="150" applyFont="1" applyFill="1" applyAlignment="1"/>
    <xf numFmtId="9" fontId="43" fillId="0" borderId="0" xfId="150" applyFont="1" applyFill="1" applyBorder="1" applyAlignment="1" applyProtection="1">
      <alignment vertical="top"/>
    </xf>
    <xf numFmtId="9" fontId="14" fillId="0" borderId="0" xfId="150" applyFont="1" applyFill="1" applyAlignment="1"/>
    <xf numFmtId="9" fontId="40" fillId="0" borderId="0" xfId="150" applyFont="1" applyFill="1" applyAlignment="1">
      <alignment vertical="top"/>
    </xf>
    <xf numFmtId="9" fontId="35" fillId="0" borderId="0" xfId="150" applyFont="1" applyFill="1" applyAlignment="1">
      <alignment vertical="top"/>
    </xf>
    <xf numFmtId="9" fontId="107" fillId="0" borderId="0" xfId="150" applyFont="1" applyFill="1" applyBorder="1" applyAlignment="1" applyProtection="1">
      <alignment vertical="top"/>
    </xf>
    <xf numFmtId="9" fontId="45" fillId="0" borderId="0" xfId="150" applyFont="1" applyFill="1" applyBorder="1" applyAlignment="1">
      <alignment vertical="top" wrapText="1"/>
    </xf>
    <xf numFmtId="9" fontId="45" fillId="0" borderId="0" xfId="150" quotePrefix="1" applyFont="1" applyFill="1" applyAlignment="1">
      <alignment wrapText="1"/>
    </xf>
    <xf numFmtId="9" fontId="45" fillId="0" borderId="0" xfId="150" applyFont="1" applyFill="1" applyBorder="1" applyAlignment="1">
      <alignment horizontal="left" wrapText="1" indent="1"/>
    </xf>
    <xf numFmtId="9" fontId="33" fillId="0" borderId="0" xfId="150" applyFont="1" applyFill="1" applyBorder="1" applyAlignment="1" applyProtection="1">
      <alignment vertical="top"/>
    </xf>
    <xf numFmtId="9" fontId="33" fillId="0" borderId="0" xfId="150" applyFont="1" applyFill="1" applyBorder="1" applyAlignment="1" applyProtection="1">
      <alignment vertical="top" wrapText="1"/>
    </xf>
    <xf numFmtId="9" fontId="14" fillId="0" borderId="0" xfId="150" applyFont="1" applyFill="1" applyAlignment="1">
      <alignment vertical="top" wrapText="1"/>
    </xf>
    <xf numFmtId="9" fontId="36" fillId="0" borderId="0" xfId="150" applyFont="1" applyFill="1" applyBorder="1" applyAlignment="1" applyProtection="1">
      <alignment vertical="top" wrapText="1"/>
    </xf>
    <xf numFmtId="9" fontId="35" fillId="0" borderId="0" xfId="150" applyFont="1" applyFill="1" applyAlignment="1">
      <alignment wrapText="1"/>
    </xf>
    <xf numFmtId="9" fontId="84" fillId="0" borderId="0" xfId="150" applyFont="1" applyFill="1" applyBorder="1" applyAlignment="1" applyProtection="1">
      <alignment vertical="top" wrapText="1"/>
    </xf>
    <xf numFmtId="9" fontId="14" fillId="0" borderId="0" xfId="150" applyFont="1" applyFill="1" applyBorder="1" applyAlignment="1"/>
    <xf numFmtId="9" fontId="40" fillId="0" borderId="0" xfId="150" applyFont="1" applyFill="1" applyBorder="1" applyAlignment="1" applyProtection="1">
      <alignment vertical="top"/>
    </xf>
    <xf numFmtId="9" fontId="45" fillId="0" borderId="0" xfId="150" applyFont="1" applyFill="1" applyBorder="1" applyAlignment="1">
      <alignment wrapText="1"/>
    </xf>
    <xf numFmtId="9" fontId="35" fillId="0" borderId="0" xfId="150" applyFont="1" applyFill="1" applyAlignment="1">
      <alignment vertical="top" wrapText="1"/>
    </xf>
    <xf numFmtId="9" fontId="36" fillId="0" borderId="0" xfId="150" applyFont="1" applyFill="1" applyBorder="1" applyAlignment="1" applyProtection="1"/>
    <xf numFmtId="9" fontId="33" fillId="0" borderId="0" xfId="150" applyFont="1" applyFill="1" applyBorder="1" applyAlignment="1">
      <alignment vertical="top"/>
    </xf>
    <xf numFmtId="9" fontId="14" fillId="0" borderId="0" xfId="150" applyFont="1" applyFill="1" applyAlignment="1">
      <alignment vertical="center"/>
    </xf>
    <xf numFmtId="9" fontId="33" fillId="0" borderId="0" xfId="150" applyFont="1" applyFill="1" applyAlignment="1">
      <alignment vertical="top"/>
    </xf>
    <xf numFmtId="9" fontId="33" fillId="0" borderId="0" xfId="150" applyFont="1" applyFill="1" applyAlignment="1">
      <alignment vertical="top" wrapText="1"/>
    </xf>
    <xf numFmtId="9" fontId="96" fillId="0" borderId="0" xfId="150" applyFont="1" applyFill="1" applyAlignment="1">
      <alignment vertical="center" wrapText="1"/>
    </xf>
    <xf numFmtId="9" fontId="84" fillId="0" borderId="0" xfId="150" applyFont="1" applyFill="1" applyBorder="1" applyAlignment="1" applyProtection="1">
      <alignment vertical="top"/>
    </xf>
    <xf numFmtId="9" fontId="45" fillId="0" borderId="0" xfId="150" quotePrefix="1" applyFont="1" applyFill="1" applyBorder="1" applyAlignment="1" applyProtection="1">
      <alignment vertical="top" wrapText="1"/>
    </xf>
    <xf numFmtId="9" fontId="45" fillId="0" borderId="0" xfId="150" applyFont="1" applyAlignment="1">
      <alignment vertical="top"/>
    </xf>
    <xf numFmtId="9" fontId="81" fillId="0" borderId="0" xfId="150" quotePrefix="1" applyFont="1" applyFill="1" applyBorder="1" applyAlignment="1" applyProtection="1">
      <alignment vertical="top" wrapText="1"/>
    </xf>
    <xf numFmtId="9" fontId="35" fillId="0" borderId="0" xfId="150" applyFont="1" applyAlignment="1">
      <alignment vertical="top" wrapText="1"/>
    </xf>
    <xf numFmtId="9" fontId="45" fillId="0" borderId="0" xfId="150" quotePrefix="1" applyFont="1" applyAlignment="1">
      <alignment wrapText="1"/>
    </xf>
    <xf numFmtId="9" fontId="45" fillId="0" borderId="0" xfId="150" quotePrefix="1" applyFont="1" applyFill="1" applyBorder="1" applyAlignment="1" applyProtection="1"/>
    <xf numFmtId="9" fontId="41" fillId="0" borderId="0" xfId="150" applyFont="1" applyAlignment="1">
      <alignment vertical="top"/>
    </xf>
    <xf numFmtId="9" fontId="85" fillId="0" borderId="0" xfId="150" applyFont="1" applyFill="1" applyBorder="1" applyAlignment="1" applyProtection="1">
      <alignment vertical="top"/>
    </xf>
    <xf numFmtId="9" fontId="33" fillId="0" borderId="0" xfId="150" applyFont="1" applyAlignment="1">
      <alignment vertical="top" wrapText="1"/>
    </xf>
    <xf numFmtId="9" fontId="33" fillId="0" borderId="0" xfId="150" applyFont="1" applyFill="1" applyBorder="1" applyAlignment="1"/>
    <xf numFmtId="9" fontId="51" fillId="0" borderId="0" xfId="150" applyFont="1" applyFill="1" applyBorder="1" applyAlignment="1" applyProtection="1"/>
    <xf numFmtId="9" fontId="14" fillId="0" borderId="0" xfId="150" applyFont="1" applyFill="1" applyBorder="1" applyAlignment="1" applyProtection="1">
      <alignment horizontal="right" vertical="top" wrapText="1"/>
    </xf>
    <xf numFmtId="9" fontId="79" fillId="0" borderId="0" xfId="150" applyFont="1" applyFill="1" applyBorder="1" applyAlignment="1" applyProtection="1">
      <alignment vertical="top"/>
    </xf>
    <xf numFmtId="9" fontId="43" fillId="0" borderId="0" xfId="150" applyFont="1" applyFill="1" applyBorder="1" applyAlignment="1" applyProtection="1">
      <alignment vertical="top" wrapText="1"/>
    </xf>
    <xf numFmtId="9" fontId="35" fillId="0" borderId="0" xfId="150" applyFont="1" applyFill="1" applyBorder="1" applyAlignment="1" applyProtection="1">
      <alignment vertical="top" wrapText="1"/>
    </xf>
    <xf numFmtId="9" fontId="40" fillId="0" borderId="0" xfId="150" applyFont="1" applyAlignment="1">
      <alignment vertical="top" wrapText="1"/>
    </xf>
    <xf numFmtId="9" fontId="45" fillId="0" borderId="0" xfId="150" quotePrefix="1" applyFont="1" applyAlignment="1">
      <alignment vertical="top" wrapText="1"/>
    </xf>
    <xf numFmtId="9" fontId="35" fillId="0" borderId="0" xfId="150" applyFont="1" applyFill="1" applyBorder="1" applyAlignment="1">
      <alignment vertical="top" wrapText="1"/>
    </xf>
    <xf numFmtId="9" fontId="45" fillId="0" borderId="0" xfId="150" quotePrefix="1" applyFont="1" applyFill="1" applyBorder="1" applyAlignment="1">
      <alignment vertical="top" wrapText="1"/>
    </xf>
    <xf numFmtId="9" fontId="45" fillId="0" borderId="0" xfId="150" applyFont="1" applyFill="1" applyBorder="1" applyAlignment="1" applyProtection="1">
      <alignment vertical="top" wrapText="1"/>
    </xf>
    <xf numFmtId="9" fontId="53" fillId="0" borderId="0" xfId="150" applyFont="1" applyFill="1" applyBorder="1" applyAlignment="1">
      <alignment wrapText="1"/>
    </xf>
    <xf numFmtId="9" fontId="45" fillId="0" borderId="0" xfId="150" quotePrefix="1" applyFont="1" applyFill="1" applyBorder="1" applyAlignment="1">
      <alignment wrapText="1"/>
    </xf>
    <xf numFmtId="9" fontId="14" fillId="0" borderId="0" xfId="150" applyFont="1" applyFill="1" applyBorder="1" applyAlignment="1">
      <alignment vertical="top" wrapText="1"/>
    </xf>
    <xf numFmtId="9" fontId="36" fillId="0" borderId="0" xfId="150" quotePrefix="1" applyFont="1" applyFill="1" applyBorder="1" applyAlignment="1">
      <alignment vertical="top" wrapText="1"/>
    </xf>
    <xf numFmtId="9" fontId="36" fillId="0" borderId="0" xfId="150" quotePrefix="1" applyFont="1" applyAlignment="1">
      <alignment vertical="top" wrapText="1"/>
    </xf>
    <xf numFmtId="9" fontId="40" fillId="0" borderId="0" xfId="150" applyFont="1" applyFill="1" applyBorder="1" applyAlignment="1">
      <alignment vertical="top"/>
    </xf>
    <xf numFmtId="9" fontId="51" fillId="0" borderId="0" xfId="150" applyFont="1" applyFill="1" applyBorder="1" applyAlignment="1">
      <alignment wrapText="1"/>
    </xf>
    <xf numFmtId="9" fontId="111" fillId="0" borderId="0" xfId="150" applyFont="1" applyFill="1" applyBorder="1" applyAlignment="1" applyProtection="1">
      <alignment vertical="top"/>
    </xf>
    <xf numFmtId="9" fontId="40" fillId="0" borderId="0" xfId="150" applyFont="1" applyFill="1" applyAlignment="1">
      <alignment vertical="top" wrapText="1"/>
    </xf>
    <xf numFmtId="9" fontId="112" fillId="0" borderId="0" xfId="150" applyFont="1" applyFill="1" applyBorder="1" applyAlignment="1">
      <alignment vertical="top"/>
    </xf>
    <xf numFmtId="9" fontId="110" fillId="0" borderId="0" xfId="150" applyFont="1" applyFill="1" applyBorder="1" applyAlignment="1" applyProtection="1">
      <alignment vertical="top"/>
    </xf>
    <xf numFmtId="9" fontId="113" fillId="0" borderId="0" xfId="150" applyFont="1" applyFill="1" applyBorder="1" applyAlignment="1" applyProtection="1">
      <alignment vertical="top"/>
    </xf>
    <xf numFmtId="9" fontId="112" fillId="0" borderId="0" xfId="150" applyFont="1" applyFill="1" applyAlignment="1">
      <alignment vertical="top"/>
    </xf>
    <xf numFmtId="9" fontId="43" fillId="0" borderId="0" xfId="150" applyFont="1" applyFill="1" applyAlignment="1">
      <alignment vertical="top"/>
    </xf>
    <xf numFmtId="9" fontId="41" fillId="0" borderId="0" xfId="150" applyFont="1" applyFill="1" applyBorder="1" applyAlignment="1" applyProtection="1">
      <alignment vertical="top"/>
    </xf>
    <xf numFmtId="9" fontId="43" fillId="0" borderId="0" xfId="150" applyFont="1" applyFill="1" applyBorder="1" applyAlignment="1"/>
    <xf numFmtId="9" fontId="0" fillId="0" borderId="0" xfId="150" applyFont="1" applyFill="1"/>
    <xf numFmtId="9" fontId="35" fillId="0" borderId="0" xfId="150" applyFont="1" applyFill="1" applyBorder="1"/>
    <xf numFmtId="9" fontId="14" fillId="0" borderId="0" xfId="150" applyFont="1" applyFill="1" applyBorder="1"/>
    <xf numFmtId="9" fontId="51" fillId="0" borderId="0" xfId="150" applyFont="1" applyFill="1" applyBorder="1"/>
    <xf numFmtId="9" fontId="115" fillId="0" borderId="0" xfId="150" applyFont="1" applyFill="1" applyBorder="1"/>
    <xf numFmtId="9" fontId="116" fillId="0" borderId="0" xfId="150" applyFont="1" applyFill="1" applyBorder="1"/>
    <xf numFmtId="3" fontId="53" fillId="0" borderId="0" xfId="36" applyNumberFormat="1" applyFont="1" applyFill="1" applyBorder="1" applyAlignment="1" applyProtection="1">
      <alignment vertical="top"/>
    </xf>
    <xf numFmtId="9" fontId="53" fillId="0" borderId="0" xfId="150" applyFont="1" applyFill="1" applyBorder="1" applyAlignment="1" applyProtection="1">
      <alignment vertical="top"/>
    </xf>
    <xf numFmtId="0" fontId="36" fillId="0" borderId="0" xfId="0" applyFont="1" applyFill="1" applyAlignment="1">
      <alignment horizontal="left" vertical="top" indent="2"/>
    </xf>
    <xf numFmtId="3" fontId="36" fillId="0" borderId="0" xfId="37" applyNumberFormat="1" applyFont="1" applyFill="1" applyBorder="1" applyAlignment="1">
      <alignment vertical="top"/>
    </xf>
    <xf numFmtId="0" fontId="14" fillId="0" borderId="0" xfId="151"/>
    <xf numFmtId="0" fontId="44" fillId="0" borderId="0" xfId="151" applyFont="1" applyAlignment="1">
      <alignment horizontal="left" vertical="top"/>
    </xf>
    <xf numFmtId="3" fontId="45" fillId="0" borderId="0" xfId="37" applyNumberFormat="1" applyFont="1" applyAlignment="1">
      <alignment vertical="top"/>
    </xf>
    <xf numFmtId="0" fontId="51" fillId="0" borderId="0" xfId="36" applyFont="1" applyAlignment="1">
      <alignment horizontal="left" vertical="top"/>
    </xf>
    <xf numFmtId="0" fontId="51" fillId="0" borderId="0" xfId="31" applyNumberFormat="1" applyFont="1" applyFill="1" applyBorder="1" applyAlignment="1" applyProtection="1">
      <alignment horizontal="left" vertical="top" indent="3"/>
    </xf>
    <xf numFmtId="0" fontId="45" fillId="0" borderId="0" xfId="36" applyFont="1" applyAlignment="1">
      <alignment horizontal="left" vertical="top" indent="4"/>
    </xf>
    <xf numFmtId="0" fontId="45" fillId="0" borderId="0" xfId="37" applyFont="1" applyAlignment="1">
      <alignment horizontal="left" vertical="top" indent="4"/>
    </xf>
    <xf numFmtId="0" fontId="127" fillId="0" borderId="15" xfId="49" applyFont="1" applyBorder="1" applyAlignment="1">
      <alignment horizontal="left" vertical="top"/>
    </xf>
    <xf numFmtId="3" fontId="35" fillId="0" borderId="11" xfId="151" applyNumberFormat="1" applyFont="1" applyBorder="1"/>
    <xf numFmtId="3" fontId="35" fillId="0" borderId="11" xfId="49" applyNumberFormat="1" applyFont="1" applyBorder="1"/>
    <xf numFmtId="9" fontId="35" fillId="0" borderId="11" xfId="46" applyFont="1" applyBorder="1"/>
    <xf numFmtId="0" fontId="14" fillId="0" borderId="15" xfId="153" applyBorder="1" applyAlignment="1" applyProtection="1">
      <alignment horizontal="left" vertical="top"/>
      <protection locked="0"/>
    </xf>
    <xf numFmtId="3" fontId="14" fillId="0" borderId="11" xfId="151" applyNumberFormat="1" applyBorder="1"/>
    <xf numFmtId="3" fontId="14" fillId="0" borderId="11" xfId="49" applyNumberFormat="1" applyBorder="1"/>
    <xf numFmtId="9" fontId="0" fillId="0" borderId="11" xfId="46" applyFont="1" applyBorder="1"/>
    <xf numFmtId="9" fontId="28" fillId="0" borderId="0" xfId="150" applyFont="1" applyFill="1" applyBorder="1"/>
    <xf numFmtId="168" fontId="35" fillId="0" borderId="11" xfId="150" applyNumberFormat="1" applyFont="1" applyBorder="1"/>
    <xf numFmtId="168" fontId="14" fillId="0" borderId="11" xfId="150" applyNumberFormat="1" applyFont="1" applyBorder="1"/>
    <xf numFmtId="10" fontId="14" fillId="0" borderId="11" xfId="150" applyNumberFormat="1" applyFont="1" applyBorder="1"/>
    <xf numFmtId="164" fontId="100" fillId="34" borderId="15" xfId="87" applyFont="1" applyFill="1" applyBorder="1" applyAlignment="1">
      <alignment horizontal="center" vertical="top" wrapText="1"/>
    </xf>
    <xf numFmtId="164" fontId="100" fillId="34" borderId="16" xfId="87" applyFont="1" applyFill="1" applyBorder="1" applyAlignment="1">
      <alignment horizontal="center" vertical="top" wrapText="1"/>
    </xf>
    <xf numFmtId="164" fontId="100" fillId="37" borderId="15" xfId="87" applyFont="1" applyFill="1" applyBorder="1" applyAlignment="1">
      <alignment horizontal="center" vertical="top" wrapText="1"/>
    </xf>
    <xf numFmtId="164" fontId="100" fillId="37" borderId="16" xfId="87" applyFont="1" applyFill="1" applyBorder="1" applyAlignment="1">
      <alignment horizontal="center" vertical="top" wrapText="1"/>
    </xf>
    <xf numFmtId="0" fontId="100" fillId="29" borderId="15" xfId="87" applyNumberFormat="1" applyFont="1" applyFill="1" applyBorder="1" applyAlignment="1">
      <alignment horizontal="center" vertical="top" wrapText="1"/>
    </xf>
    <xf numFmtId="0" fontId="100" fillId="29" borderId="13" xfId="87" applyNumberFormat="1" applyFont="1" applyFill="1" applyBorder="1" applyAlignment="1">
      <alignment horizontal="center" vertical="top" wrapText="1"/>
    </xf>
    <xf numFmtId="0" fontId="100" fillId="29" borderId="16" xfId="87" applyNumberFormat="1" applyFont="1" applyFill="1" applyBorder="1" applyAlignment="1">
      <alignment horizontal="center" vertical="top" wrapText="1"/>
    </xf>
    <xf numFmtId="0" fontId="100" fillId="29" borderId="11" xfId="0" applyFont="1" applyFill="1" applyBorder="1" applyAlignment="1">
      <alignment horizontal="center" vertical="top"/>
    </xf>
  </cellXfs>
  <cellStyles count="290">
    <cellStyle name="20% - Accent1" xfId="1" builtinId="30" customBuiltin="1"/>
    <cellStyle name="20% - Accent1 2" xfId="52" xr:uid="{00000000-0005-0000-0000-000001000000}"/>
    <cellStyle name="20% - Accent1 3" xfId="157" xr:uid="{00000000-0005-0000-0000-000002000000}"/>
    <cellStyle name="20% - Accent1 4" xfId="285" xr:uid="{00000000-0005-0000-0000-000003000000}"/>
    <cellStyle name="20% - Accent2" xfId="2" builtinId="34" customBuiltin="1"/>
    <cellStyle name="20% - Accent2 2" xfId="53" xr:uid="{00000000-0005-0000-0000-000005000000}"/>
    <cellStyle name="20% - Accent2 3" xfId="158" xr:uid="{00000000-0005-0000-0000-000006000000}"/>
    <cellStyle name="20% - Accent3" xfId="3" builtinId="38" customBuiltin="1"/>
    <cellStyle name="20% - Accent3 2" xfId="54" xr:uid="{00000000-0005-0000-0000-000008000000}"/>
    <cellStyle name="20% - Accent3 3" xfId="159" xr:uid="{00000000-0005-0000-0000-000009000000}"/>
    <cellStyle name="20% - Accent4" xfId="4" builtinId="42" customBuiltin="1"/>
    <cellStyle name="20% - Accent4 2" xfId="55" xr:uid="{00000000-0005-0000-0000-00000B000000}"/>
    <cellStyle name="20% - Accent4 3" xfId="160" xr:uid="{00000000-0005-0000-0000-00000C000000}"/>
    <cellStyle name="20% - Accent5" xfId="5" builtinId="46" customBuiltin="1"/>
    <cellStyle name="20% - Accent5 2" xfId="56" xr:uid="{00000000-0005-0000-0000-00000E000000}"/>
    <cellStyle name="20% - Accent5 3" xfId="161" xr:uid="{00000000-0005-0000-0000-00000F000000}"/>
    <cellStyle name="20% - Accent6" xfId="6" builtinId="50" customBuiltin="1"/>
    <cellStyle name="20% - Accent6 2" xfId="57" xr:uid="{00000000-0005-0000-0000-000011000000}"/>
    <cellStyle name="20% - Accent6 3" xfId="162" xr:uid="{00000000-0005-0000-0000-000012000000}"/>
    <cellStyle name="40% - Accent1" xfId="7" builtinId="31" customBuiltin="1"/>
    <cellStyle name="40% - Accent1 2" xfId="58" xr:uid="{00000000-0005-0000-0000-000014000000}"/>
    <cellStyle name="40% - Accent1 3" xfId="163" xr:uid="{00000000-0005-0000-0000-000015000000}"/>
    <cellStyle name="40% - Accent2" xfId="8" builtinId="35" customBuiltin="1"/>
    <cellStyle name="40% - Accent2 2" xfId="59" xr:uid="{00000000-0005-0000-0000-000017000000}"/>
    <cellStyle name="40% - Accent2 3" xfId="164" xr:uid="{00000000-0005-0000-0000-000018000000}"/>
    <cellStyle name="40% - Accent3" xfId="9" builtinId="39" customBuiltin="1"/>
    <cellStyle name="40% - Accent3 2" xfId="60" xr:uid="{00000000-0005-0000-0000-00001A000000}"/>
    <cellStyle name="40% - Accent3 3" xfId="165" xr:uid="{00000000-0005-0000-0000-00001B000000}"/>
    <cellStyle name="40% - Accent4" xfId="10" builtinId="43" customBuiltin="1"/>
    <cellStyle name="40% - Accent4 2" xfId="61" xr:uid="{00000000-0005-0000-0000-00001D000000}"/>
    <cellStyle name="40% - Accent4 3" xfId="166" xr:uid="{00000000-0005-0000-0000-00001E000000}"/>
    <cellStyle name="40% - Accent5" xfId="11" builtinId="47" customBuiltin="1"/>
    <cellStyle name="40% - Accent5 2" xfId="62" xr:uid="{00000000-0005-0000-0000-000020000000}"/>
    <cellStyle name="40% - Accent5 3" xfId="167" xr:uid="{00000000-0005-0000-0000-000021000000}"/>
    <cellStyle name="40% - Accent6" xfId="12" builtinId="51" customBuiltin="1"/>
    <cellStyle name="40% - Accent6 2" xfId="63" xr:uid="{00000000-0005-0000-0000-000023000000}"/>
    <cellStyle name="40% - Accent6 3" xfId="168" xr:uid="{00000000-0005-0000-0000-000024000000}"/>
    <cellStyle name="60% - Accent1" xfId="13" builtinId="32" customBuiltin="1"/>
    <cellStyle name="60% - Accent1 2" xfId="64" xr:uid="{00000000-0005-0000-0000-000026000000}"/>
    <cellStyle name="60% - Accent1 3" xfId="169" xr:uid="{00000000-0005-0000-0000-000027000000}"/>
    <cellStyle name="60% - Accent2" xfId="14" builtinId="36" customBuiltin="1"/>
    <cellStyle name="60% - Accent2 2" xfId="65" xr:uid="{00000000-0005-0000-0000-000029000000}"/>
    <cellStyle name="60% - Accent2 3" xfId="170" xr:uid="{00000000-0005-0000-0000-00002A000000}"/>
    <cellStyle name="60% - Accent3" xfId="15" builtinId="40" customBuiltin="1"/>
    <cellStyle name="60% - Accent3 2" xfId="66" xr:uid="{00000000-0005-0000-0000-00002C000000}"/>
    <cellStyle name="60% - Accent3 3" xfId="171" xr:uid="{00000000-0005-0000-0000-00002D000000}"/>
    <cellStyle name="60% - Accent4" xfId="16" builtinId="44" customBuiltin="1"/>
    <cellStyle name="60% - Accent4 2" xfId="67" xr:uid="{00000000-0005-0000-0000-00002F000000}"/>
    <cellStyle name="60% - Accent4 3" xfId="172" xr:uid="{00000000-0005-0000-0000-000030000000}"/>
    <cellStyle name="60% - Accent5" xfId="17" builtinId="48" customBuiltin="1"/>
    <cellStyle name="60% - Accent5 2" xfId="68" xr:uid="{00000000-0005-0000-0000-000032000000}"/>
    <cellStyle name="60% - Accent5 3" xfId="173" xr:uid="{00000000-0005-0000-0000-000033000000}"/>
    <cellStyle name="60% - Accent6" xfId="18" builtinId="52" customBuiltin="1"/>
    <cellStyle name="60% - Accent6 2" xfId="69" xr:uid="{00000000-0005-0000-0000-000035000000}"/>
    <cellStyle name="60% - Accent6 3" xfId="174" xr:uid="{00000000-0005-0000-0000-000036000000}"/>
    <cellStyle name="Accent1" xfId="19" builtinId="29" customBuiltin="1"/>
    <cellStyle name="Accent1 2" xfId="70" xr:uid="{00000000-0005-0000-0000-000038000000}"/>
    <cellStyle name="Accent1 3" xfId="175" xr:uid="{00000000-0005-0000-0000-000039000000}"/>
    <cellStyle name="Accent2" xfId="20" builtinId="33" customBuiltin="1"/>
    <cellStyle name="Accent2 2" xfId="71" xr:uid="{00000000-0005-0000-0000-00003B000000}"/>
    <cellStyle name="Accent2 3" xfId="176" xr:uid="{00000000-0005-0000-0000-00003C000000}"/>
    <cellStyle name="Accent3" xfId="21" builtinId="37" customBuiltin="1"/>
    <cellStyle name="Accent3 2" xfId="72" xr:uid="{00000000-0005-0000-0000-00003E000000}"/>
    <cellStyle name="Accent3 3" xfId="177" xr:uid="{00000000-0005-0000-0000-00003F000000}"/>
    <cellStyle name="Accent4" xfId="22" builtinId="41" customBuiltin="1"/>
    <cellStyle name="Accent4 2" xfId="73" xr:uid="{00000000-0005-0000-0000-000041000000}"/>
    <cellStyle name="Accent4 3" xfId="178" xr:uid="{00000000-0005-0000-0000-000042000000}"/>
    <cellStyle name="Accent5" xfId="47" builtinId="45" customBuiltin="1"/>
    <cellStyle name="Accent5 2" xfId="74" xr:uid="{00000000-0005-0000-0000-000044000000}"/>
    <cellStyle name="Accent5 3" xfId="179" xr:uid="{00000000-0005-0000-0000-000045000000}"/>
    <cellStyle name="Accent6" xfId="48" builtinId="49" customBuiltin="1"/>
    <cellStyle name="Accent6 2" xfId="75" xr:uid="{00000000-0005-0000-0000-000047000000}"/>
    <cellStyle name="Accent6 3" xfId="180" xr:uid="{00000000-0005-0000-0000-000048000000}"/>
    <cellStyle name="Bad" xfId="23" builtinId="27" customBuiltin="1"/>
    <cellStyle name="Bad 2" xfId="76" xr:uid="{00000000-0005-0000-0000-00004A000000}"/>
    <cellStyle name="Bad 3" xfId="181" xr:uid="{00000000-0005-0000-0000-00004B000000}"/>
    <cellStyle name="Bad 3 2" xfId="284" xr:uid="{00000000-0005-0000-0000-00004C000000}"/>
    <cellStyle name="Calculation" xfId="24" builtinId="22" customBuiltin="1"/>
    <cellStyle name="Calculation 2" xfId="77" xr:uid="{00000000-0005-0000-0000-00004E000000}"/>
    <cellStyle name="Calculation 3" xfId="182" xr:uid="{00000000-0005-0000-0000-00004F000000}"/>
    <cellStyle name="Check Cell" xfId="25" builtinId="23" customBuiltin="1"/>
    <cellStyle name="Check Cell 2" xfId="78" xr:uid="{00000000-0005-0000-0000-000051000000}"/>
    <cellStyle name="Check Cell 3" xfId="183" xr:uid="{00000000-0005-0000-0000-000052000000}"/>
    <cellStyle name="Comma 2" xfId="79" xr:uid="{00000000-0005-0000-0000-000053000000}"/>
    <cellStyle name="Comma 2 2" xfId="80" xr:uid="{00000000-0005-0000-0000-000054000000}"/>
    <cellStyle name="Comma 2 3" xfId="81" xr:uid="{00000000-0005-0000-0000-000055000000}"/>
    <cellStyle name="Comma 2 4" xfId="82" xr:uid="{00000000-0005-0000-0000-000056000000}"/>
    <cellStyle name="Comma 2 5" xfId="83" xr:uid="{00000000-0005-0000-0000-000057000000}"/>
    <cellStyle name="Comma 2 6" xfId="84" xr:uid="{00000000-0005-0000-0000-000058000000}"/>
    <cellStyle name="Comma 3" xfId="85" xr:uid="{00000000-0005-0000-0000-000059000000}"/>
    <cellStyle name="Comma 4" xfId="86" xr:uid="{00000000-0005-0000-0000-00005A000000}"/>
    <cellStyle name="Currency 2" xfId="87" xr:uid="{00000000-0005-0000-0000-00005B000000}"/>
    <cellStyle name="Explanatory Text" xfId="26" builtinId="53" customBuiltin="1"/>
    <cellStyle name="Explanatory Text 2" xfId="88" xr:uid="{00000000-0005-0000-0000-00005D000000}"/>
    <cellStyle name="Explanatory Text 3" xfId="184" xr:uid="{00000000-0005-0000-0000-00005E000000}"/>
    <cellStyle name="Good" xfId="44" builtinId="26" customBuiltin="1"/>
    <cellStyle name="Good 2" xfId="89" xr:uid="{00000000-0005-0000-0000-000060000000}"/>
    <cellStyle name="Good 3" xfId="185" xr:uid="{00000000-0005-0000-0000-000061000000}"/>
    <cellStyle name="Good 4" xfId="283" xr:uid="{00000000-0005-0000-0000-000062000000}"/>
    <cellStyle name="Hea 2" xfId="90" xr:uid="{00000000-0005-0000-0000-000063000000}"/>
    <cellStyle name="Hea 3" xfId="198" xr:uid="{00000000-0005-0000-0000-000064000000}"/>
    <cellStyle name="Heading 1" xfId="27" builtinId="16" customBuiltin="1"/>
    <cellStyle name="Heading 1 2" xfId="91" xr:uid="{00000000-0005-0000-0000-000066000000}"/>
    <cellStyle name="Heading 1 3" xfId="186" xr:uid="{00000000-0005-0000-0000-000067000000}"/>
    <cellStyle name="Heading 2" xfId="28" builtinId="17" customBuiltin="1"/>
    <cellStyle name="Heading 2 2" xfId="92" xr:uid="{00000000-0005-0000-0000-000069000000}"/>
    <cellStyle name="Heading 2 3" xfId="187" xr:uid="{00000000-0005-0000-0000-00006A000000}"/>
    <cellStyle name="Heading 3" xfId="29" builtinId="18" customBuiltin="1"/>
    <cellStyle name="Heading 3 2" xfId="93" xr:uid="{00000000-0005-0000-0000-00006C000000}"/>
    <cellStyle name="Heading 3 3" xfId="188" xr:uid="{00000000-0005-0000-0000-00006D000000}"/>
    <cellStyle name="Heading 4" xfId="30" builtinId="19" customBuiltin="1"/>
    <cellStyle name="Heading 4 2" xfId="94" xr:uid="{00000000-0005-0000-0000-00006F000000}"/>
    <cellStyle name="Heading 4 3" xfId="189" xr:uid="{00000000-0005-0000-0000-000070000000}"/>
    <cellStyle name="Hyperlink 2" xfId="45" xr:uid="{00000000-0005-0000-0000-000072000000}"/>
    <cellStyle name="Hyperlink 2 2" xfId="95" xr:uid="{00000000-0005-0000-0000-000073000000}"/>
    <cellStyle name="Hyperlink_Lisad 22.02.11 II" xfId="31" xr:uid="{00000000-0005-0000-0000-000074000000}"/>
    <cellStyle name="Input" xfId="32" builtinId="20" customBuiltin="1"/>
    <cellStyle name="Input 2" xfId="96" xr:uid="{00000000-0005-0000-0000-000076000000}"/>
    <cellStyle name="Input 3" xfId="190" xr:uid="{00000000-0005-0000-0000-000077000000}"/>
    <cellStyle name="Linked Cell" xfId="33" builtinId="24" customBuiltin="1"/>
    <cellStyle name="Linked Cell 2" xfId="97" xr:uid="{00000000-0005-0000-0000-000079000000}"/>
    <cellStyle name="Linked Cell 3" xfId="191" xr:uid="{00000000-0005-0000-0000-00007A000000}"/>
    <cellStyle name="Neutral" xfId="34" builtinId="28" customBuiltin="1"/>
    <cellStyle name="Neutral 2" xfId="98" xr:uid="{00000000-0005-0000-0000-00007C000000}"/>
    <cellStyle name="Neutral 3" xfId="192" xr:uid="{00000000-0005-0000-0000-00007D000000}"/>
    <cellStyle name="Normaallaad 2" xfId="149" xr:uid="{00000000-0005-0000-0000-00007E000000}"/>
    <cellStyle name="Normaallaad 3" xfId="156" xr:uid="{00000000-0005-0000-0000-00007F000000}"/>
    <cellStyle name="Normaallaad 3 2" xfId="273" xr:uid="{00000000-0005-0000-0000-000080000000}"/>
    <cellStyle name="Normal" xfId="0" builtinId="0"/>
    <cellStyle name="Normal 10" xfId="146" xr:uid="{00000000-0005-0000-0000-000082000000}"/>
    <cellStyle name="Normal 10 2" xfId="229" xr:uid="{00000000-0005-0000-0000-000083000000}"/>
    <cellStyle name="Normal 10 3" xfId="263" xr:uid="{00000000-0005-0000-0000-000084000000}"/>
    <cellStyle name="Normal 11" xfId="147" xr:uid="{00000000-0005-0000-0000-000085000000}"/>
    <cellStyle name="Normal 11 2" xfId="230" xr:uid="{00000000-0005-0000-0000-000086000000}"/>
    <cellStyle name="Normal 11 3" xfId="264" xr:uid="{00000000-0005-0000-0000-000087000000}"/>
    <cellStyle name="Normal 12" xfId="151" xr:uid="{00000000-0005-0000-0000-000088000000}"/>
    <cellStyle name="Normal 13" xfId="268" xr:uid="{00000000-0005-0000-0000-000089000000}"/>
    <cellStyle name="Normal 13 2" xfId="148" xr:uid="{00000000-0005-0000-0000-00008A000000}"/>
    <cellStyle name="Normal 14" xfId="281" xr:uid="{00000000-0005-0000-0000-00008B000000}"/>
    <cellStyle name="Normal 14 2" xfId="233" xr:uid="{00000000-0005-0000-0000-00008C000000}"/>
    <cellStyle name="Normal 14 2 3" xfId="266" xr:uid="{00000000-0005-0000-0000-00008D000000}"/>
    <cellStyle name="Normal 14 2 3 2" xfId="270" xr:uid="{00000000-0005-0000-0000-00008E000000}"/>
    <cellStyle name="Normal 14 2 3 3 3 2 2" xfId="289" xr:uid="{3EBDD926-C6C0-45EB-91D9-723FA8A876F0}"/>
    <cellStyle name="Normal 14 2 3 3 3 2 4" xfId="288" xr:uid="{06A47D91-BB06-44EC-82C0-D27E040466E2}"/>
    <cellStyle name="Normal 2" xfId="43" xr:uid="{00000000-0005-0000-0000-00008F000000}"/>
    <cellStyle name="Normal 2 2" xfId="49" xr:uid="{00000000-0005-0000-0000-000090000000}"/>
    <cellStyle name="Normal 2 3" xfId="99" xr:uid="{00000000-0005-0000-0000-000091000000}"/>
    <cellStyle name="Normal 2 3 2" xfId="100" xr:uid="{00000000-0005-0000-0000-000092000000}"/>
    <cellStyle name="Normal 2 4" xfId="101" xr:uid="{00000000-0005-0000-0000-000093000000}"/>
    <cellStyle name="Normal 2 4 2" xfId="102" xr:uid="{00000000-0005-0000-0000-000094000000}"/>
    <cellStyle name="Normal 2 4 2 2" xfId="202" xr:uid="{00000000-0005-0000-0000-000095000000}"/>
    <cellStyle name="Normal 2 4 2 3" xfId="237" xr:uid="{00000000-0005-0000-0000-000096000000}"/>
    <cellStyle name="Normal 2 4 3" xfId="201" xr:uid="{00000000-0005-0000-0000-000097000000}"/>
    <cellStyle name="Normal 2 4 4" xfId="236" xr:uid="{00000000-0005-0000-0000-000098000000}"/>
    <cellStyle name="Normal 2 5" xfId="103" xr:uid="{00000000-0005-0000-0000-000099000000}"/>
    <cellStyle name="Normal 2 6" xfId="104" xr:uid="{00000000-0005-0000-0000-00009A000000}"/>
    <cellStyle name="Normal 2 8" xfId="232" xr:uid="{00000000-0005-0000-0000-00009B000000}"/>
    <cellStyle name="Normal 3" xfId="50" xr:uid="{00000000-0005-0000-0000-00009C000000}"/>
    <cellStyle name="Normal 3 10" xfId="105" xr:uid="{00000000-0005-0000-0000-00009D000000}"/>
    <cellStyle name="Normal 3 10 2" xfId="106" xr:uid="{00000000-0005-0000-0000-00009E000000}"/>
    <cellStyle name="Normal 3 10 2 2" xfId="204" xr:uid="{00000000-0005-0000-0000-00009F000000}"/>
    <cellStyle name="Normal 3 10 2 3" xfId="239" xr:uid="{00000000-0005-0000-0000-0000A0000000}"/>
    <cellStyle name="Normal 3 10 3" xfId="203" xr:uid="{00000000-0005-0000-0000-0000A1000000}"/>
    <cellStyle name="Normal 3 10 4" xfId="238" xr:uid="{00000000-0005-0000-0000-0000A2000000}"/>
    <cellStyle name="Normal 3 11" xfId="107" xr:uid="{00000000-0005-0000-0000-0000A3000000}"/>
    <cellStyle name="Normal 3 11 2" xfId="108" xr:uid="{00000000-0005-0000-0000-0000A4000000}"/>
    <cellStyle name="Normal 3 11 2 2" xfId="206" xr:uid="{00000000-0005-0000-0000-0000A5000000}"/>
    <cellStyle name="Normal 3 11 2 3" xfId="241" xr:uid="{00000000-0005-0000-0000-0000A6000000}"/>
    <cellStyle name="Normal 3 11 3" xfId="205" xr:uid="{00000000-0005-0000-0000-0000A7000000}"/>
    <cellStyle name="Normal 3 11 4" xfId="240" xr:uid="{00000000-0005-0000-0000-0000A8000000}"/>
    <cellStyle name="Normal 3 12" xfId="109" xr:uid="{00000000-0005-0000-0000-0000A9000000}"/>
    <cellStyle name="Normal 3 12 2" xfId="207" xr:uid="{00000000-0005-0000-0000-0000AA000000}"/>
    <cellStyle name="Normal 3 12 3" xfId="242" xr:uid="{00000000-0005-0000-0000-0000AB000000}"/>
    <cellStyle name="Normal 3 13" xfId="110" xr:uid="{00000000-0005-0000-0000-0000AC000000}"/>
    <cellStyle name="Normal 3 13 2" xfId="208" xr:uid="{00000000-0005-0000-0000-0000AD000000}"/>
    <cellStyle name="Normal 3 13 3" xfId="243" xr:uid="{00000000-0005-0000-0000-0000AE000000}"/>
    <cellStyle name="Normal 3 14" xfId="276" xr:uid="{00000000-0005-0000-0000-0000AF000000}"/>
    <cellStyle name="Normal 3 14 2" xfId="278" xr:uid="{00000000-0005-0000-0000-0000B0000000}"/>
    <cellStyle name="Normal 3 14 9" xfId="280" xr:uid="{00000000-0005-0000-0000-0000B1000000}"/>
    <cellStyle name="Normal 3 15" xfId="277" xr:uid="{00000000-0005-0000-0000-0000B2000000}"/>
    <cellStyle name="Normal 3 15 4" xfId="279" xr:uid="{00000000-0005-0000-0000-0000B3000000}"/>
    <cellStyle name="Normal 3 2" xfId="111" xr:uid="{00000000-0005-0000-0000-0000B4000000}"/>
    <cellStyle name="Normal 3 2 2" xfId="112" xr:uid="{00000000-0005-0000-0000-0000B5000000}"/>
    <cellStyle name="Normal 3 2 3" xfId="113" xr:uid="{00000000-0005-0000-0000-0000B6000000}"/>
    <cellStyle name="Normal 3 2 3 2" xfId="210" xr:uid="{00000000-0005-0000-0000-0000B7000000}"/>
    <cellStyle name="Normal 3 2 3 3" xfId="245" xr:uid="{00000000-0005-0000-0000-0000B8000000}"/>
    <cellStyle name="Normal 3 2 4" xfId="209" xr:uid="{00000000-0005-0000-0000-0000B9000000}"/>
    <cellStyle name="Normal 3 2 5" xfId="244" xr:uid="{00000000-0005-0000-0000-0000BA000000}"/>
    <cellStyle name="Normal 3 3" xfId="114" xr:uid="{00000000-0005-0000-0000-0000BB000000}"/>
    <cellStyle name="Normal 3 3 2" xfId="115" xr:uid="{00000000-0005-0000-0000-0000BC000000}"/>
    <cellStyle name="Normal 3 3 2 2" xfId="212" xr:uid="{00000000-0005-0000-0000-0000BD000000}"/>
    <cellStyle name="Normal 3 3 2 3" xfId="247" xr:uid="{00000000-0005-0000-0000-0000BE000000}"/>
    <cellStyle name="Normal 3 3 3" xfId="211" xr:uid="{00000000-0005-0000-0000-0000BF000000}"/>
    <cellStyle name="Normal 3 3 4" xfId="246" xr:uid="{00000000-0005-0000-0000-0000C0000000}"/>
    <cellStyle name="Normal 3 4" xfId="116" xr:uid="{00000000-0005-0000-0000-0000C1000000}"/>
    <cellStyle name="Normal 3 4 2" xfId="117" xr:uid="{00000000-0005-0000-0000-0000C2000000}"/>
    <cellStyle name="Normal 3 4 2 2" xfId="214" xr:uid="{00000000-0005-0000-0000-0000C3000000}"/>
    <cellStyle name="Normal 3 4 2 3" xfId="249" xr:uid="{00000000-0005-0000-0000-0000C4000000}"/>
    <cellStyle name="Normal 3 4 3" xfId="213" xr:uid="{00000000-0005-0000-0000-0000C5000000}"/>
    <cellStyle name="Normal 3 4 4" xfId="248" xr:uid="{00000000-0005-0000-0000-0000C6000000}"/>
    <cellStyle name="Normal 3 5" xfId="118" xr:uid="{00000000-0005-0000-0000-0000C7000000}"/>
    <cellStyle name="Normal 3 5 2" xfId="119" xr:uid="{00000000-0005-0000-0000-0000C8000000}"/>
    <cellStyle name="Normal 3 5 2 2" xfId="216" xr:uid="{00000000-0005-0000-0000-0000C9000000}"/>
    <cellStyle name="Normal 3 5 2 3" xfId="251" xr:uid="{00000000-0005-0000-0000-0000CA000000}"/>
    <cellStyle name="Normal 3 5 3" xfId="215" xr:uid="{00000000-0005-0000-0000-0000CB000000}"/>
    <cellStyle name="Normal 3 5 4" xfId="250" xr:uid="{00000000-0005-0000-0000-0000CC000000}"/>
    <cellStyle name="Normal 3 6" xfId="120" xr:uid="{00000000-0005-0000-0000-0000CD000000}"/>
    <cellStyle name="Normal 3 7" xfId="121" xr:uid="{00000000-0005-0000-0000-0000CE000000}"/>
    <cellStyle name="Normal 3 8" xfId="122" xr:uid="{00000000-0005-0000-0000-0000CF000000}"/>
    <cellStyle name="Normal 3 8 2" xfId="123" xr:uid="{00000000-0005-0000-0000-0000D0000000}"/>
    <cellStyle name="Normal 3 8 2 2" xfId="218" xr:uid="{00000000-0005-0000-0000-0000D1000000}"/>
    <cellStyle name="Normal 3 8 2 3" xfId="253" xr:uid="{00000000-0005-0000-0000-0000D2000000}"/>
    <cellStyle name="Normal 3 8 3" xfId="217" xr:uid="{00000000-0005-0000-0000-0000D3000000}"/>
    <cellStyle name="Normal 3 8 4" xfId="252" xr:uid="{00000000-0005-0000-0000-0000D4000000}"/>
    <cellStyle name="Normal 3 9" xfId="124" xr:uid="{00000000-0005-0000-0000-0000D5000000}"/>
    <cellStyle name="Normal 3 9 2" xfId="125" xr:uid="{00000000-0005-0000-0000-0000D6000000}"/>
    <cellStyle name="Normal 3 9 2 2" xfId="220" xr:uid="{00000000-0005-0000-0000-0000D7000000}"/>
    <cellStyle name="Normal 3 9 2 3" xfId="255" xr:uid="{00000000-0005-0000-0000-0000D8000000}"/>
    <cellStyle name="Normal 3 9 3" xfId="219" xr:uid="{00000000-0005-0000-0000-0000D9000000}"/>
    <cellStyle name="Normal 3 9 4" xfId="254" xr:uid="{00000000-0005-0000-0000-0000DA000000}"/>
    <cellStyle name="Normal 4" xfId="126" xr:uid="{00000000-0005-0000-0000-0000DB000000}"/>
    <cellStyle name="Normal 4 2" xfId="127" xr:uid="{00000000-0005-0000-0000-0000DC000000}"/>
    <cellStyle name="Normal 4 3" xfId="221" xr:uid="{00000000-0005-0000-0000-0000DD000000}"/>
    <cellStyle name="Normal 4 4" xfId="256" xr:uid="{00000000-0005-0000-0000-0000DE000000}"/>
    <cellStyle name="Normal 5" xfId="128" xr:uid="{00000000-0005-0000-0000-0000DF000000}"/>
    <cellStyle name="Normal 5 2" xfId="129" xr:uid="{00000000-0005-0000-0000-0000E0000000}"/>
    <cellStyle name="Normal 5 2 2" xfId="130" xr:uid="{00000000-0005-0000-0000-0000E1000000}"/>
    <cellStyle name="Normal 5 2 2 2" xfId="224" xr:uid="{00000000-0005-0000-0000-0000E2000000}"/>
    <cellStyle name="Normal 5 2 2 3" xfId="259" xr:uid="{00000000-0005-0000-0000-0000E3000000}"/>
    <cellStyle name="Normal 5 2 3" xfId="223" xr:uid="{00000000-0005-0000-0000-0000E4000000}"/>
    <cellStyle name="Normal 5 2 4" xfId="258" xr:uid="{00000000-0005-0000-0000-0000E5000000}"/>
    <cellStyle name="Normal 5 3" xfId="131" xr:uid="{00000000-0005-0000-0000-0000E6000000}"/>
    <cellStyle name="Normal 5 3 2" xfId="225" xr:uid="{00000000-0005-0000-0000-0000E7000000}"/>
    <cellStyle name="Normal 5 3 3" xfId="260" xr:uid="{00000000-0005-0000-0000-0000E8000000}"/>
    <cellStyle name="Normal 5 4" xfId="222" xr:uid="{00000000-0005-0000-0000-0000E9000000}"/>
    <cellStyle name="Normal 5 5" xfId="257" xr:uid="{00000000-0005-0000-0000-0000EA000000}"/>
    <cellStyle name="Normal 6" xfId="132" xr:uid="{00000000-0005-0000-0000-0000EB000000}"/>
    <cellStyle name="Normal 7" xfId="133" xr:uid="{00000000-0005-0000-0000-0000EC000000}"/>
    <cellStyle name="Normal 7 2" xfId="134" xr:uid="{00000000-0005-0000-0000-0000ED000000}"/>
    <cellStyle name="Normal 7 2 2" xfId="227" xr:uid="{00000000-0005-0000-0000-0000EE000000}"/>
    <cellStyle name="Normal 7 2 3" xfId="262" xr:uid="{00000000-0005-0000-0000-0000EF000000}"/>
    <cellStyle name="Normal 7 3" xfId="226" xr:uid="{00000000-0005-0000-0000-0000F0000000}"/>
    <cellStyle name="Normal 7 4" xfId="261" xr:uid="{00000000-0005-0000-0000-0000F1000000}"/>
    <cellStyle name="Normal 8" xfId="135" xr:uid="{00000000-0005-0000-0000-0000F2000000}"/>
    <cellStyle name="Normal 8 2" xfId="228" xr:uid="{00000000-0005-0000-0000-0000F3000000}"/>
    <cellStyle name="Normal 8 3" xfId="274" xr:uid="{00000000-0005-0000-0000-0000F4000000}"/>
    <cellStyle name="Normal 8 6" xfId="152" xr:uid="{00000000-0005-0000-0000-0000F5000000}"/>
    <cellStyle name="Normal 8 6 2" xfId="154" xr:uid="{00000000-0005-0000-0000-0000F6000000}"/>
    <cellStyle name="Normal 8 6 2 2 2" xfId="235" xr:uid="{00000000-0005-0000-0000-0000F7000000}"/>
    <cellStyle name="Normal 8 6 2 2 2 3" xfId="267" xr:uid="{00000000-0005-0000-0000-0000F8000000}"/>
    <cellStyle name="Normal 8 6 2 2 4" xfId="155" xr:uid="{00000000-0005-0000-0000-0000F9000000}"/>
    <cellStyle name="Normal 8 6 3" xfId="234" xr:uid="{00000000-0005-0000-0000-0000FA000000}"/>
    <cellStyle name="Normal 8 6 3 3" xfId="265" xr:uid="{00000000-0005-0000-0000-0000FB000000}"/>
    <cellStyle name="Normal 8 6 3 3 2" xfId="269" xr:uid="{00000000-0005-0000-0000-0000FC000000}"/>
    <cellStyle name="Normal 8 6 3 3 3 3 2 2" xfId="286" xr:uid="{08D2CB9F-30E0-4A16-8147-932E73E1159A}"/>
    <cellStyle name="Normal 8 6 3 3 3 3 2 4" xfId="287" xr:uid="{E7F28C67-BB48-493D-8F09-66DBE828F614}"/>
    <cellStyle name="Normal 8 7" xfId="153" xr:uid="{00000000-0005-0000-0000-0000FD000000}"/>
    <cellStyle name="Normal 9" xfId="136" xr:uid="{00000000-0005-0000-0000-0000FE000000}"/>
    <cellStyle name="Normal_2002 määrus lisa 5" xfId="35" xr:uid="{00000000-0005-0000-0000-0000FF000000}"/>
    <cellStyle name="Normal_2002 määrus lisa 5 2" xfId="271" xr:uid="{00000000-0005-0000-0000-000000010000}"/>
    <cellStyle name="Normal_2002 määrus lisa 5_Lisad 22.02.11 II" xfId="36" xr:uid="{00000000-0005-0000-0000-000001010000}"/>
    <cellStyle name="Normal_vorm 1 koond" xfId="272" xr:uid="{00000000-0005-0000-0000-000004010000}"/>
    <cellStyle name="Normal_vorm 1 koond_Lisad 22.02.11 II" xfId="37" xr:uid="{00000000-0005-0000-0000-000005010000}"/>
    <cellStyle name="Note" xfId="38" builtinId="10" customBuiltin="1"/>
    <cellStyle name="Note 2" xfId="137" xr:uid="{00000000-0005-0000-0000-000007010000}"/>
    <cellStyle name="Note 3" xfId="145" xr:uid="{00000000-0005-0000-0000-000008010000}"/>
    <cellStyle name="Note 4" xfId="51" xr:uid="{00000000-0005-0000-0000-000009010000}"/>
    <cellStyle name="Note 5" xfId="193" xr:uid="{00000000-0005-0000-0000-00000A010000}"/>
    <cellStyle name="Output" xfId="39" builtinId="21" customBuiltin="1"/>
    <cellStyle name="Output 2" xfId="138" xr:uid="{00000000-0005-0000-0000-00000C010000}"/>
    <cellStyle name="Output 3" xfId="194" xr:uid="{00000000-0005-0000-0000-00000D010000}"/>
    <cellStyle name="Percent" xfId="150" builtinId="5"/>
    <cellStyle name="Percent 2" xfId="46" xr:uid="{00000000-0005-0000-0000-00000F010000}"/>
    <cellStyle name="Percent 3" xfId="139" xr:uid="{00000000-0005-0000-0000-000010010000}"/>
    <cellStyle name="Percent 4" xfId="231" xr:uid="{00000000-0005-0000-0000-000011010000}"/>
    <cellStyle name="Percent 5" xfId="282" xr:uid="{00000000-0005-0000-0000-000012010000}"/>
    <cellStyle name="Rõhk5 2" xfId="140" xr:uid="{00000000-0005-0000-0000-000013010000}"/>
    <cellStyle name="Rõhk5 3" xfId="199" xr:uid="{00000000-0005-0000-0000-000014010000}"/>
    <cellStyle name="Rõhk6 2" xfId="141" xr:uid="{00000000-0005-0000-0000-000015010000}"/>
    <cellStyle name="Rõhk6 3" xfId="200" xr:uid="{00000000-0005-0000-0000-000016010000}"/>
    <cellStyle name="Title" xfId="40" builtinId="15" customBuiltin="1"/>
    <cellStyle name="Title 2" xfId="142" xr:uid="{00000000-0005-0000-0000-000018010000}"/>
    <cellStyle name="Title 3" xfId="195" xr:uid="{00000000-0005-0000-0000-000019010000}"/>
    <cellStyle name="Total" xfId="41" builtinId="25" customBuiltin="1"/>
    <cellStyle name="Total 2" xfId="143" xr:uid="{00000000-0005-0000-0000-00001B010000}"/>
    <cellStyle name="Total 3" xfId="196" xr:uid="{00000000-0005-0000-0000-00001C010000}"/>
    <cellStyle name="Tulemus" xfId="275" xr:uid="{00000000-0005-0000-0000-00001D010000}"/>
    <cellStyle name="Warning Text" xfId="42" builtinId="11" customBuiltin="1"/>
    <cellStyle name="Warning Text 2" xfId="144" xr:uid="{00000000-0005-0000-0000-00001F010000}"/>
    <cellStyle name="Warning Text 3" xfId="197" xr:uid="{00000000-0005-0000-0000-00002001000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tsteenistus/EELARVE%20OSAKOND/2011/2011%20EELARVE%20T&#196;ITMINE%20-%20VALGE%20RAAMAT/Koond%2026.04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linnlv.ee\data\Users\hirve\Documents\Ametikohtade%20hindamine\Copy%20of%20Koopia%20failist%20Tallinna%20Linnakantselei%20at%20palgatabel_2014_10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UKORD"/>
      <sheetName val="1 KOONDEELARVE"/>
      <sheetName val="2 KOONDEA TÄITMINE"/>
      <sheetName val="3 TULUDE KOOND"/>
      <sheetName val="4 LK TULUD"/>
      <sheetName val="5 RR - OTSTARVE"/>
      <sheetName val="6 TOETUSED"/>
      <sheetName val="Sheet1"/>
      <sheetName val="7 OMATULUD"/>
      <sheetName val="8 KULUD"/>
      <sheetName val="9 INVEST"/>
      <sheetName val="10 FIN.TEH"/>
      <sheetName val="11 EESMÄRGID"/>
      <sheetName val="Probleemid"/>
      <sheetName val="Taotlused"/>
      <sheetName val="1_KOONDEELARVE"/>
      <sheetName val="2_KOONDEA_TÄITMINE"/>
      <sheetName val="3_TULUDE_KOOND"/>
      <sheetName val="4_LK_TULUD"/>
      <sheetName val="5_RR_-_OTSTARVE"/>
      <sheetName val="6_TOETUSED"/>
      <sheetName val="7_OMATULUD"/>
      <sheetName val="8_KULUD"/>
      <sheetName val="9_INVEST"/>
      <sheetName val="10_FIN_TEH"/>
      <sheetName val="11_EESMÄRG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end"/>
      <sheetName val="Andmed"/>
      <sheetName val="põhipalk"/>
      <sheetName val="tulemustasu2"/>
      <sheetName val="tulemustasu"/>
      <sheetName val="öötöö, riigipühad"/>
      <sheetName val="muutuvad tasud"/>
      <sheetName val="mobiiltelefon"/>
      <sheetName val="Sheet1"/>
      <sheetName val="Maakonnad"/>
      <sheetName val="Job Families"/>
      <sheetName val="Job Names"/>
      <sheetName val="Sheet2"/>
      <sheetName val="Ametiasutused põhitasud 2015"/>
      <sheetName val="8 KULUD"/>
      <sheetName val="öötöö,_riigipühad"/>
      <sheetName val="muutuvad_tasud"/>
      <sheetName val="Job_Families"/>
      <sheetName val="Job_Names"/>
      <sheetName val="Ametiasutused_põhitasud_2015"/>
      <sheetName val="8_KULUD"/>
      <sheetName val="öötöö,_riigipühad1"/>
      <sheetName val="muutuvad_tasud1"/>
      <sheetName val="Job_Families1"/>
      <sheetName val="Job_Names1"/>
      <sheetName val="Ametiasutused_põhitasud_20151"/>
      <sheetName val="8_KULUD1"/>
      <sheetName val="öötöö,_riigipühad2"/>
      <sheetName val="muutuvad_tasud2"/>
      <sheetName val="Job_Families2"/>
      <sheetName val="Job_Names2"/>
      <sheetName val="Ametiasutused_põhitasud_20152"/>
      <sheetName val="8_KULUD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Harjumaa</v>
          </cell>
        </row>
        <row r="2">
          <cell r="A2" t="str">
            <v>Hiiumaa</v>
          </cell>
        </row>
        <row r="3">
          <cell r="A3" t="str">
            <v>Ida-Virumaa</v>
          </cell>
        </row>
        <row r="4">
          <cell r="A4" t="str">
            <v>Jõgevamaa</v>
          </cell>
        </row>
        <row r="5">
          <cell r="A5" t="str">
            <v>Järvamaa</v>
          </cell>
        </row>
        <row r="6">
          <cell r="A6" t="str">
            <v>Läänemaa</v>
          </cell>
        </row>
        <row r="7">
          <cell r="A7" t="str">
            <v>Lääne-Virumaa</v>
          </cell>
        </row>
        <row r="8">
          <cell r="A8" t="str">
            <v>Põlvamaa</v>
          </cell>
        </row>
        <row r="9">
          <cell r="A9" t="str">
            <v>Pärnumaa</v>
          </cell>
        </row>
        <row r="10">
          <cell r="A10" t="str">
            <v>Raplamaa</v>
          </cell>
        </row>
        <row r="11">
          <cell r="A11" t="str">
            <v>Saaremaa</v>
          </cell>
        </row>
        <row r="12">
          <cell r="A12" t="str">
            <v>Tartumaa</v>
          </cell>
        </row>
        <row r="13">
          <cell r="A13" t="str">
            <v>Valgamaa</v>
          </cell>
        </row>
        <row r="14">
          <cell r="A14" t="str">
            <v>Viljandimaa</v>
          </cell>
        </row>
        <row r="15">
          <cell r="A15" t="str">
            <v>Võrumaa</v>
          </cell>
        </row>
      </sheetData>
      <sheetData sheetId="10">
        <row r="2">
          <cell r="D2" t="str">
            <v>Actual Job Family</v>
          </cell>
          <cell r="E2" t="str">
            <v>Level</v>
          </cell>
          <cell r="F2" t="str">
            <v>Points</v>
          </cell>
          <cell r="G2" t="str">
            <v>min</v>
          </cell>
          <cell r="H2" t="str">
            <v>max</v>
          </cell>
        </row>
        <row r="3">
          <cell r="D3" t="str">
            <v>AT - (Sise)auditeerimine</v>
          </cell>
          <cell r="E3">
            <v>1</v>
          </cell>
          <cell r="F3">
            <v>184</v>
          </cell>
          <cell r="G3">
            <v>172</v>
          </cell>
          <cell r="H3">
            <v>197</v>
          </cell>
        </row>
        <row r="4">
          <cell r="D4" t="str">
            <v>AT - (Sise)auditeerimine</v>
          </cell>
          <cell r="E4">
            <v>2</v>
          </cell>
          <cell r="F4">
            <v>281</v>
          </cell>
          <cell r="G4">
            <v>262</v>
          </cell>
          <cell r="H4">
            <v>300</v>
          </cell>
        </row>
        <row r="5">
          <cell r="D5" t="str">
            <v>AT - (Sise)auditeerimine</v>
          </cell>
          <cell r="E5" t="str">
            <v>3A</v>
          </cell>
          <cell r="F5">
            <v>371</v>
          </cell>
          <cell r="G5">
            <v>346</v>
          </cell>
          <cell r="H5">
            <v>397</v>
          </cell>
        </row>
        <row r="6">
          <cell r="D6" t="str">
            <v>AT - (Sise)auditeerimine</v>
          </cell>
          <cell r="E6" t="str">
            <v>3B</v>
          </cell>
          <cell r="F6">
            <v>371</v>
          </cell>
          <cell r="G6">
            <v>346</v>
          </cell>
          <cell r="H6">
            <v>397</v>
          </cell>
        </row>
        <row r="7">
          <cell r="D7" t="str">
            <v>AT - (Sise)auditeerimine</v>
          </cell>
          <cell r="E7">
            <v>4</v>
          </cell>
          <cell r="F7">
            <v>492</v>
          </cell>
          <cell r="G7">
            <v>458</v>
          </cell>
          <cell r="H7">
            <v>526</v>
          </cell>
        </row>
        <row r="8">
          <cell r="D8" t="str">
            <v>AT - Andmeait</v>
          </cell>
          <cell r="E8">
            <v>1</v>
          </cell>
          <cell r="F8">
            <v>160</v>
          </cell>
          <cell r="G8">
            <v>150</v>
          </cell>
          <cell r="H8">
            <v>149</v>
          </cell>
        </row>
        <row r="9">
          <cell r="D9" t="str">
            <v>AT - Andmeait</v>
          </cell>
          <cell r="E9">
            <v>2</v>
          </cell>
          <cell r="F9">
            <v>244</v>
          </cell>
          <cell r="G9">
            <v>228</v>
          </cell>
          <cell r="H9">
            <v>261</v>
          </cell>
        </row>
        <row r="10">
          <cell r="D10" t="str">
            <v>AT - Andmeait</v>
          </cell>
          <cell r="E10">
            <v>3</v>
          </cell>
          <cell r="F10">
            <v>323</v>
          </cell>
          <cell r="G10">
            <v>301</v>
          </cell>
          <cell r="H10">
            <v>345</v>
          </cell>
        </row>
        <row r="11">
          <cell r="D11" t="str">
            <v>AT - Andmeait</v>
          </cell>
          <cell r="E11">
            <v>4</v>
          </cell>
          <cell r="F11">
            <v>427</v>
          </cell>
          <cell r="G11">
            <v>398</v>
          </cell>
          <cell r="H11">
            <v>457</v>
          </cell>
        </row>
        <row r="12">
          <cell r="D12" t="str">
            <v>AT - Andmeanalüüs ja -seire</v>
          </cell>
          <cell r="E12">
            <v>1</v>
          </cell>
          <cell r="F12">
            <v>121</v>
          </cell>
          <cell r="G12">
            <v>113</v>
          </cell>
          <cell r="H12">
            <v>129</v>
          </cell>
        </row>
        <row r="13">
          <cell r="D13" t="str">
            <v>AT - Andmeanalüüs ja -seire</v>
          </cell>
          <cell r="E13">
            <v>2</v>
          </cell>
          <cell r="F13">
            <v>212</v>
          </cell>
          <cell r="G13">
            <v>198</v>
          </cell>
          <cell r="H13">
            <v>227</v>
          </cell>
        </row>
        <row r="14">
          <cell r="D14" t="str">
            <v>AT - Andmeanalüüs ja -seire</v>
          </cell>
          <cell r="E14">
            <v>3</v>
          </cell>
          <cell r="F14">
            <v>281</v>
          </cell>
          <cell r="G14">
            <v>262</v>
          </cell>
          <cell r="H14">
            <v>300</v>
          </cell>
        </row>
        <row r="15">
          <cell r="D15" t="str">
            <v>AT - Andmeanalüüs ja -seire</v>
          </cell>
          <cell r="E15" t="str">
            <v>4A</v>
          </cell>
          <cell r="F15">
            <v>323</v>
          </cell>
          <cell r="G15">
            <v>301</v>
          </cell>
          <cell r="H15">
            <v>345</v>
          </cell>
        </row>
        <row r="16">
          <cell r="D16" t="str">
            <v>AT - Andmeanalüüs ja -seire</v>
          </cell>
          <cell r="E16" t="str">
            <v>4B</v>
          </cell>
          <cell r="F16">
            <v>427</v>
          </cell>
          <cell r="G16">
            <v>398</v>
          </cell>
          <cell r="H16">
            <v>457</v>
          </cell>
        </row>
        <row r="17">
          <cell r="D17" t="str">
            <v>AT - Andmeanalüüs ja -seire</v>
          </cell>
          <cell r="E17" t="str">
            <v>5A</v>
          </cell>
          <cell r="F17">
            <v>427</v>
          </cell>
          <cell r="G17">
            <v>398</v>
          </cell>
          <cell r="H17">
            <v>457</v>
          </cell>
        </row>
        <row r="18">
          <cell r="D18" t="str">
            <v>AT - Andmeanalüüs ja -seire</v>
          </cell>
          <cell r="E18" t="str">
            <v>5B</v>
          </cell>
          <cell r="F18">
            <v>492</v>
          </cell>
          <cell r="G18">
            <v>458</v>
          </cell>
          <cell r="H18">
            <v>526</v>
          </cell>
        </row>
        <row r="19">
          <cell r="D19" t="str">
            <v>AT - Arengu ja poliitika kujundamine</v>
          </cell>
          <cell r="E19">
            <v>1</v>
          </cell>
          <cell r="F19">
            <v>184</v>
          </cell>
          <cell r="G19">
            <v>172</v>
          </cell>
          <cell r="H19">
            <v>197</v>
          </cell>
        </row>
        <row r="20">
          <cell r="D20" t="str">
            <v>AT - Arengu ja poliitika kujundamine</v>
          </cell>
          <cell r="E20">
            <v>2</v>
          </cell>
          <cell r="F20">
            <v>244</v>
          </cell>
          <cell r="G20">
            <v>228</v>
          </cell>
          <cell r="H20">
            <v>261</v>
          </cell>
        </row>
        <row r="21">
          <cell r="D21" t="str">
            <v>AT - Arengu ja poliitika kujundamine</v>
          </cell>
          <cell r="E21">
            <v>3</v>
          </cell>
          <cell r="F21">
            <v>323</v>
          </cell>
          <cell r="G21">
            <v>301</v>
          </cell>
          <cell r="H21">
            <v>345</v>
          </cell>
        </row>
        <row r="22">
          <cell r="D22" t="str">
            <v>AT - Arengu ja poliitika kujundamine</v>
          </cell>
          <cell r="E22">
            <v>4</v>
          </cell>
          <cell r="F22">
            <v>427</v>
          </cell>
          <cell r="G22">
            <v>398</v>
          </cell>
          <cell r="H22">
            <v>457</v>
          </cell>
        </row>
        <row r="23">
          <cell r="D23" t="str">
            <v>AT - Arengu ja poliitika kujundamine</v>
          </cell>
          <cell r="E23">
            <v>5</v>
          </cell>
          <cell r="F23">
            <v>492</v>
          </cell>
          <cell r="G23">
            <v>458</v>
          </cell>
          <cell r="H23">
            <v>526</v>
          </cell>
        </row>
        <row r="24">
          <cell r="D24" t="str">
            <v>AT - Arengu ja poliitika kujundamine</v>
          </cell>
          <cell r="E24">
            <v>6</v>
          </cell>
          <cell r="F24">
            <v>651</v>
          </cell>
          <cell r="G24">
            <v>606</v>
          </cell>
          <cell r="H24">
            <v>696</v>
          </cell>
        </row>
        <row r="25">
          <cell r="D25" t="str">
            <v>AT - Arhiivindus</v>
          </cell>
          <cell r="E25" t="str">
            <v>1B</v>
          </cell>
          <cell r="F25">
            <v>139</v>
          </cell>
          <cell r="G25">
            <v>130</v>
          </cell>
          <cell r="H25">
            <v>149</v>
          </cell>
        </row>
        <row r="26">
          <cell r="D26" t="str">
            <v>AT - Arhiivindus</v>
          </cell>
          <cell r="E26" t="str">
            <v>1A</v>
          </cell>
          <cell r="F26">
            <v>160</v>
          </cell>
          <cell r="G26">
            <v>150</v>
          </cell>
          <cell r="H26">
            <v>171</v>
          </cell>
        </row>
        <row r="27">
          <cell r="D27" t="str">
            <v>AT - Arhiivindus</v>
          </cell>
          <cell r="E27" t="str">
            <v>2B</v>
          </cell>
          <cell r="F27">
            <v>184</v>
          </cell>
          <cell r="G27">
            <v>172</v>
          </cell>
          <cell r="H27">
            <v>197</v>
          </cell>
        </row>
        <row r="28">
          <cell r="D28" t="str">
            <v>AT - Arhiivindus</v>
          </cell>
          <cell r="E28" t="str">
            <v>2A</v>
          </cell>
          <cell r="F28">
            <v>212</v>
          </cell>
          <cell r="G28">
            <v>198</v>
          </cell>
          <cell r="H28">
            <v>227</v>
          </cell>
        </row>
        <row r="29">
          <cell r="D29" t="str">
            <v>AT - Arhiivindus</v>
          </cell>
          <cell r="E29" t="str">
            <v>3A</v>
          </cell>
          <cell r="F29">
            <v>281</v>
          </cell>
          <cell r="G29">
            <v>262</v>
          </cell>
          <cell r="H29">
            <v>300</v>
          </cell>
        </row>
        <row r="30">
          <cell r="D30" t="str">
            <v>AT - Arhiivindus</v>
          </cell>
          <cell r="E30" t="str">
            <v>3B</v>
          </cell>
          <cell r="F30">
            <v>281</v>
          </cell>
          <cell r="G30">
            <v>262</v>
          </cell>
          <cell r="H30">
            <v>300</v>
          </cell>
        </row>
        <row r="31">
          <cell r="D31" t="str">
            <v>AT - Arhiivindus</v>
          </cell>
          <cell r="E31">
            <v>4</v>
          </cell>
          <cell r="F31">
            <v>427</v>
          </cell>
          <cell r="G31">
            <v>398</v>
          </cell>
          <cell r="H31">
            <v>457</v>
          </cell>
        </row>
        <row r="32">
          <cell r="D32" t="str">
            <v>AT - Ekspertiis</v>
          </cell>
          <cell r="E32">
            <v>1</v>
          </cell>
          <cell r="F32">
            <v>160</v>
          </cell>
          <cell r="G32">
            <v>150</v>
          </cell>
          <cell r="H32">
            <v>171</v>
          </cell>
        </row>
        <row r="33">
          <cell r="D33" t="str">
            <v>AT - Ekspertiis</v>
          </cell>
          <cell r="E33">
            <v>2</v>
          </cell>
          <cell r="F33">
            <v>212</v>
          </cell>
          <cell r="G33">
            <v>198</v>
          </cell>
          <cell r="H33">
            <v>227</v>
          </cell>
        </row>
        <row r="34">
          <cell r="D34" t="str">
            <v>AT - Ekspertiis</v>
          </cell>
          <cell r="E34">
            <v>3</v>
          </cell>
          <cell r="F34">
            <v>281</v>
          </cell>
          <cell r="G34">
            <v>262</v>
          </cell>
          <cell r="H34">
            <v>300</v>
          </cell>
        </row>
        <row r="35">
          <cell r="D35" t="str">
            <v>AT - Ekspertiis</v>
          </cell>
          <cell r="E35">
            <v>4</v>
          </cell>
          <cell r="F35">
            <v>323</v>
          </cell>
          <cell r="G35">
            <v>301</v>
          </cell>
          <cell r="H35">
            <v>345</v>
          </cell>
        </row>
        <row r="36">
          <cell r="D36" t="str">
            <v>AT - Ekspertiis</v>
          </cell>
          <cell r="E36">
            <v>5</v>
          </cell>
          <cell r="F36">
            <v>427</v>
          </cell>
          <cell r="G36">
            <v>398</v>
          </cell>
          <cell r="H36">
            <v>457</v>
          </cell>
        </row>
        <row r="37">
          <cell r="D37" t="str">
            <v>AT - Finantsanalüüs, -planeerimine ja -juhtimine</v>
          </cell>
          <cell r="E37">
            <v>1</v>
          </cell>
          <cell r="F37">
            <v>160</v>
          </cell>
          <cell r="G37">
            <v>150</v>
          </cell>
          <cell r="H37">
            <v>171</v>
          </cell>
        </row>
        <row r="38">
          <cell r="D38" t="str">
            <v>AT - Finantsanalüüs, -planeerimine ja -juhtimine</v>
          </cell>
          <cell r="E38">
            <v>2</v>
          </cell>
          <cell r="F38">
            <v>184</v>
          </cell>
          <cell r="G38">
            <v>172</v>
          </cell>
          <cell r="H38">
            <v>197</v>
          </cell>
        </row>
        <row r="39">
          <cell r="D39" t="str">
            <v>AT - Finantsanalüüs, -planeerimine ja -juhtimine</v>
          </cell>
          <cell r="E39">
            <v>3</v>
          </cell>
          <cell r="F39">
            <v>281</v>
          </cell>
          <cell r="G39">
            <v>262</v>
          </cell>
          <cell r="H39">
            <v>300</v>
          </cell>
        </row>
        <row r="40">
          <cell r="D40" t="str">
            <v>AT - Finantsanalüüs, -planeerimine ja -juhtimine</v>
          </cell>
          <cell r="E40">
            <v>4</v>
          </cell>
          <cell r="F40">
            <v>427</v>
          </cell>
          <cell r="G40">
            <v>398</v>
          </cell>
          <cell r="H40">
            <v>457</v>
          </cell>
        </row>
        <row r="41">
          <cell r="D41" t="str">
            <v>AT - Finantsanalüüs, -planeerimine ja -juhtimine</v>
          </cell>
          <cell r="E41">
            <v>5</v>
          </cell>
          <cell r="F41">
            <v>492</v>
          </cell>
          <cell r="G41">
            <v>458</v>
          </cell>
          <cell r="H41">
            <v>526</v>
          </cell>
        </row>
        <row r="42">
          <cell r="D42" t="str">
            <v>AT - Geomaatika</v>
          </cell>
          <cell r="E42">
            <v>1</v>
          </cell>
          <cell r="F42">
            <v>160</v>
          </cell>
          <cell r="G42">
            <v>150</v>
          </cell>
          <cell r="H42">
            <v>171</v>
          </cell>
        </row>
        <row r="43">
          <cell r="D43" t="str">
            <v>AT - Geomaatika</v>
          </cell>
          <cell r="E43">
            <v>2</v>
          </cell>
          <cell r="F43">
            <v>212</v>
          </cell>
          <cell r="G43">
            <v>198</v>
          </cell>
          <cell r="H43">
            <v>227</v>
          </cell>
        </row>
        <row r="44">
          <cell r="D44" t="str">
            <v>AT - Geomaatika</v>
          </cell>
          <cell r="E44">
            <v>3</v>
          </cell>
          <cell r="F44">
            <v>244</v>
          </cell>
          <cell r="G44">
            <v>228</v>
          </cell>
          <cell r="H44">
            <v>261</v>
          </cell>
        </row>
        <row r="45">
          <cell r="D45" t="str">
            <v>AT - Geomaatika</v>
          </cell>
          <cell r="E45">
            <v>4</v>
          </cell>
          <cell r="F45">
            <v>371</v>
          </cell>
          <cell r="G45">
            <v>346</v>
          </cell>
          <cell r="H45">
            <v>397</v>
          </cell>
        </row>
        <row r="46">
          <cell r="D46" t="str">
            <v>AT - Haridus</v>
          </cell>
          <cell r="E46">
            <v>1</v>
          </cell>
          <cell r="F46">
            <v>160</v>
          </cell>
          <cell r="G46">
            <v>150</v>
          </cell>
          <cell r="H46">
            <v>171</v>
          </cell>
        </row>
        <row r="47">
          <cell r="D47" t="str">
            <v>AT - Haridus</v>
          </cell>
          <cell r="E47" t="str">
            <v>2A</v>
          </cell>
          <cell r="F47">
            <v>244</v>
          </cell>
          <cell r="G47">
            <v>228</v>
          </cell>
          <cell r="H47">
            <v>261</v>
          </cell>
        </row>
        <row r="48">
          <cell r="D48" t="str">
            <v>AT - Haridus</v>
          </cell>
          <cell r="E48" t="str">
            <v>2B</v>
          </cell>
          <cell r="F48">
            <v>244</v>
          </cell>
          <cell r="G48">
            <v>228</v>
          </cell>
          <cell r="H48">
            <v>261</v>
          </cell>
        </row>
        <row r="49">
          <cell r="D49" t="str">
            <v>AT - Haridus</v>
          </cell>
          <cell r="E49" t="str">
            <v>3A</v>
          </cell>
          <cell r="F49">
            <v>323</v>
          </cell>
          <cell r="G49">
            <v>301</v>
          </cell>
          <cell r="H49">
            <v>345</v>
          </cell>
        </row>
        <row r="50">
          <cell r="D50" t="str">
            <v>AT - Haridus</v>
          </cell>
          <cell r="E50" t="str">
            <v>3B</v>
          </cell>
          <cell r="F50">
            <v>323</v>
          </cell>
          <cell r="G50">
            <v>301</v>
          </cell>
          <cell r="H50">
            <v>345</v>
          </cell>
        </row>
        <row r="51">
          <cell r="D51" t="str">
            <v>AT - Haridus</v>
          </cell>
          <cell r="E51">
            <v>4</v>
          </cell>
          <cell r="F51">
            <v>492</v>
          </cell>
          <cell r="G51">
            <v>458</v>
          </cell>
          <cell r="H51">
            <v>526</v>
          </cell>
        </row>
        <row r="52">
          <cell r="D52" t="str">
            <v>AT - Info ja dokumendihaldus</v>
          </cell>
          <cell r="E52">
            <v>1</v>
          </cell>
          <cell r="F52">
            <v>105</v>
          </cell>
          <cell r="G52">
            <v>98</v>
          </cell>
          <cell r="H52">
            <v>112</v>
          </cell>
        </row>
        <row r="53">
          <cell r="D53" t="str">
            <v>AT - Info ja dokumendihaldus</v>
          </cell>
          <cell r="E53">
            <v>2</v>
          </cell>
          <cell r="F53">
            <v>139</v>
          </cell>
          <cell r="G53">
            <v>130</v>
          </cell>
          <cell r="H53">
            <v>149</v>
          </cell>
        </row>
        <row r="54">
          <cell r="D54" t="str">
            <v>AT - Info ja dokumendihaldus</v>
          </cell>
          <cell r="E54">
            <v>3</v>
          </cell>
          <cell r="F54">
            <v>212</v>
          </cell>
          <cell r="G54">
            <v>198</v>
          </cell>
          <cell r="H54">
            <v>227</v>
          </cell>
        </row>
        <row r="55">
          <cell r="D55" t="str">
            <v>AT - Info ja dokumendihaldus</v>
          </cell>
          <cell r="E55">
            <v>4</v>
          </cell>
          <cell r="F55">
            <v>281</v>
          </cell>
          <cell r="G55">
            <v>262</v>
          </cell>
          <cell r="H55">
            <v>300</v>
          </cell>
        </row>
        <row r="56">
          <cell r="D56" t="str">
            <v>AT - Info ja dokumendihaldus</v>
          </cell>
          <cell r="E56">
            <v>5</v>
          </cell>
          <cell r="F56">
            <v>371</v>
          </cell>
          <cell r="G56">
            <v>346</v>
          </cell>
          <cell r="H56">
            <v>397</v>
          </cell>
        </row>
        <row r="57">
          <cell r="D57" t="str">
            <v>AT - Inseneritööd</v>
          </cell>
          <cell r="E57">
            <v>1</v>
          </cell>
          <cell r="F57">
            <v>160</v>
          </cell>
          <cell r="G57">
            <v>150</v>
          </cell>
          <cell r="H57">
            <v>171</v>
          </cell>
        </row>
        <row r="58">
          <cell r="D58" t="str">
            <v>AT - Inseneritööd</v>
          </cell>
          <cell r="E58">
            <v>2</v>
          </cell>
          <cell r="F58">
            <v>244</v>
          </cell>
          <cell r="G58">
            <v>228</v>
          </cell>
          <cell r="H58">
            <v>261</v>
          </cell>
        </row>
        <row r="59">
          <cell r="D59" t="str">
            <v>AT - Inseneritööd</v>
          </cell>
          <cell r="E59">
            <v>3</v>
          </cell>
          <cell r="F59">
            <v>323</v>
          </cell>
          <cell r="G59">
            <v>301</v>
          </cell>
          <cell r="H59">
            <v>345</v>
          </cell>
        </row>
        <row r="60">
          <cell r="D60" t="str">
            <v>AT - Inseneritööd</v>
          </cell>
          <cell r="E60">
            <v>4</v>
          </cell>
          <cell r="F60">
            <v>427</v>
          </cell>
          <cell r="G60">
            <v>398</v>
          </cell>
          <cell r="H60">
            <v>457</v>
          </cell>
        </row>
        <row r="61">
          <cell r="D61" t="str">
            <v>AT - Instruktorid-koolitajad</v>
          </cell>
          <cell r="E61">
            <v>1</v>
          </cell>
          <cell r="F61">
            <v>160</v>
          </cell>
          <cell r="G61">
            <v>150</v>
          </cell>
          <cell r="H61">
            <v>171</v>
          </cell>
        </row>
        <row r="62">
          <cell r="D62" t="str">
            <v>AT - Instruktorid-koolitajad</v>
          </cell>
          <cell r="E62">
            <v>2</v>
          </cell>
          <cell r="F62">
            <v>212</v>
          </cell>
          <cell r="G62">
            <v>198</v>
          </cell>
          <cell r="H62">
            <v>227</v>
          </cell>
        </row>
        <row r="63">
          <cell r="D63" t="str">
            <v>AT - Instruktorid-koolitajad</v>
          </cell>
          <cell r="E63">
            <v>3</v>
          </cell>
          <cell r="F63">
            <v>281</v>
          </cell>
          <cell r="G63">
            <v>262</v>
          </cell>
          <cell r="H63">
            <v>300</v>
          </cell>
        </row>
        <row r="64">
          <cell r="D64" t="str">
            <v>AT - Isikute teenindamine</v>
          </cell>
          <cell r="E64">
            <v>1</v>
          </cell>
          <cell r="F64">
            <v>79</v>
          </cell>
          <cell r="G64">
            <v>74</v>
          </cell>
          <cell r="H64">
            <v>84</v>
          </cell>
        </row>
        <row r="65">
          <cell r="D65" t="str">
            <v>AT - Isikute teenindamine</v>
          </cell>
          <cell r="E65">
            <v>2</v>
          </cell>
          <cell r="F65">
            <v>105</v>
          </cell>
          <cell r="G65">
            <v>98</v>
          </cell>
          <cell r="H65">
            <v>112</v>
          </cell>
        </row>
        <row r="66">
          <cell r="D66" t="str">
            <v>AT - Isikute teenindamine</v>
          </cell>
          <cell r="E66" t="str">
            <v>3A</v>
          </cell>
          <cell r="F66">
            <v>139</v>
          </cell>
          <cell r="G66">
            <v>130</v>
          </cell>
          <cell r="H66">
            <v>149</v>
          </cell>
        </row>
        <row r="67">
          <cell r="D67" t="str">
            <v>AT - Isikute teenindamine</v>
          </cell>
          <cell r="E67" t="str">
            <v>3B</v>
          </cell>
          <cell r="F67">
            <v>160</v>
          </cell>
          <cell r="G67">
            <v>150</v>
          </cell>
          <cell r="H67">
            <v>171</v>
          </cell>
        </row>
        <row r="68">
          <cell r="D68" t="str">
            <v>AT - Isikute teenindamine</v>
          </cell>
          <cell r="E68">
            <v>4</v>
          </cell>
          <cell r="F68">
            <v>244</v>
          </cell>
          <cell r="G68">
            <v>228</v>
          </cell>
          <cell r="H68">
            <v>261</v>
          </cell>
        </row>
        <row r="69">
          <cell r="D69" t="str">
            <v>AT - Isikute teenindamine</v>
          </cell>
          <cell r="E69">
            <v>5</v>
          </cell>
          <cell r="F69">
            <v>323</v>
          </cell>
          <cell r="G69">
            <v>301</v>
          </cell>
          <cell r="H69">
            <v>345</v>
          </cell>
        </row>
        <row r="70">
          <cell r="D70" t="str">
            <v>AT - IT - andmeturve</v>
          </cell>
          <cell r="E70">
            <v>1</v>
          </cell>
          <cell r="F70">
            <v>184</v>
          </cell>
          <cell r="G70">
            <v>172</v>
          </cell>
          <cell r="H70">
            <v>197</v>
          </cell>
        </row>
        <row r="71">
          <cell r="D71" t="str">
            <v>AT - IT - andmeturve</v>
          </cell>
          <cell r="E71">
            <v>2</v>
          </cell>
          <cell r="F71">
            <v>281</v>
          </cell>
          <cell r="G71">
            <v>262</v>
          </cell>
          <cell r="H71">
            <v>300</v>
          </cell>
        </row>
        <row r="72">
          <cell r="D72" t="str">
            <v>AT - IT - andmeturve</v>
          </cell>
          <cell r="E72">
            <v>3</v>
          </cell>
          <cell r="F72">
            <v>371</v>
          </cell>
          <cell r="G72">
            <v>346</v>
          </cell>
          <cell r="H72">
            <v>397</v>
          </cell>
        </row>
        <row r="73">
          <cell r="D73" t="str">
            <v>AT - IT - arvutigraafika</v>
          </cell>
          <cell r="E73">
            <v>1</v>
          </cell>
          <cell r="F73">
            <v>139</v>
          </cell>
          <cell r="G73">
            <v>130</v>
          </cell>
          <cell r="H73">
            <v>149</v>
          </cell>
        </row>
        <row r="74">
          <cell r="D74" t="str">
            <v>AT - IT - arvutigraafika</v>
          </cell>
          <cell r="E74">
            <v>2</v>
          </cell>
          <cell r="F74">
            <v>244</v>
          </cell>
          <cell r="G74">
            <v>228</v>
          </cell>
          <cell r="H74">
            <v>261</v>
          </cell>
        </row>
        <row r="75">
          <cell r="D75" t="str">
            <v>AT - IT - juhtimine</v>
          </cell>
          <cell r="E75">
            <v>1</v>
          </cell>
          <cell r="F75">
            <v>244</v>
          </cell>
          <cell r="G75">
            <v>228</v>
          </cell>
          <cell r="H75">
            <v>261</v>
          </cell>
        </row>
        <row r="76">
          <cell r="D76" t="str">
            <v>AT - IT - juhtimine</v>
          </cell>
          <cell r="E76">
            <v>2</v>
          </cell>
          <cell r="F76">
            <v>371</v>
          </cell>
          <cell r="G76">
            <v>346</v>
          </cell>
          <cell r="H76">
            <v>397</v>
          </cell>
        </row>
        <row r="77">
          <cell r="D77" t="str">
            <v>AT - IT - juhtimine</v>
          </cell>
          <cell r="E77">
            <v>3</v>
          </cell>
          <cell r="F77">
            <v>492</v>
          </cell>
          <cell r="G77">
            <v>458</v>
          </cell>
          <cell r="H77">
            <v>526</v>
          </cell>
        </row>
        <row r="78">
          <cell r="D78" t="str">
            <v>AT - IT - konsultandid</v>
          </cell>
          <cell r="E78">
            <v>1</v>
          </cell>
          <cell r="F78">
            <v>212</v>
          </cell>
          <cell r="G78">
            <v>198</v>
          </cell>
          <cell r="H78">
            <v>227</v>
          </cell>
        </row>
        <row r="79">
          <cell r="D79" t="str">
            <v>AT - IT - konsultandid</v>
          </cell>
          <cell r="E79">
            <v>2</v>
          </cell>
          <cell r="F79">
            <v>281</v>
          </cell>
          <cell r="G79">
            <v>262</v>
          </cell>
          <cell r="H79">
            <v>300</v>
          </cell>
        </row>
        <row r="80">
          <cell r="D80" t="str">
            <v>AT - IT - konsultandid</v>
          </cell>
          <cell r="E80">
            <v>3</v>
          </cell>
          <cell r="F80">
            <v>427</v>
          </cell>
          <cell r="G80">
            <v>398</v>
          </cell>
          <cell r="H80">
            <v>457</v>
          </cell>
        </row>
        <row r="81">
          <cell r="D81" t="str">
            <v>AT - IT - projektijuhtimine</v>
          </cell>
          <cell r="E81">
            <v>1</v>
          </cell>
          <cell r="F81">
            <v>212</v>
          </cell>
          <cell r="G81">
            <v>198</v>
          </cell>
          <cell r="H81">
            <v>227</v>
          </cell>
        </row>
        <row r="82">
          <cell r="D82" t="str">
            <v>AT - IT - projektijuhtimine</v>
          </cell>
          <cell r="E82">
            <v>2</v>
          </cell>
          <cell r="F82">
            <v>281</v>
          </cell>
          <cell r="G82">
            <v>262</v>
          </cell>
          <cell r="H82">
            <v>300</v>
          </cell>
        </row>
        <row r="83">
          <cell r="D83" t="str">
            <v>AT - IT - projektijuhtimine</v>
          </cell>
          <cell r="E83">
            <v>3</v>
          </cell>
          <cell r="F83">
            <v>371</v>
          </cell>
          <cell r="G83">
            <v>346</v>
          </cell>
          <cell r="H83">
            <v>397</v>
          </cell>
        </row>
        <row r="84">
          <cell r="D84" t="str">
            <v>AT - IT - süsteemiadministratsioon</v>
          </cell>
          <cell r="E84">
            <v>1</v>
          </cell>
          <cell r="F84">
            <v>139</v>
          </cell>
          <cell r="G84">
            <v>130</v>
          </cell>
          <cell r="H84">
            <v>149</v>
          </cell>
        </row>
        <row r="85">
          <cell r="D85" t="str">
            <v>AT - IT - süsteemiadministratsioon</v>
          </cell>
          <cell r="E85">
            <v>2</v>
          </cell>
          <cell r="F85">
            <v>212</v>
          </cell>
          <cell r="G85">
            <v>198</v>
          </cell>
          <cell r="H85">
            <v>227</v>
          </cell>
        </row>
        <row r="86">
          <cell r="D86" t="str">
            <v>AT - IT - süsteemiadministratsioon</v>
          </cell>
          <cell r="E86">
            <v>3</v>
          </cell>
          <cell r="F86">
            <v>281</v>
          </cell>
          <cell r="G86">
            <v>262</v>
          </cell>
          <cell r="H86">
            <v>300</v>
          </cell>
        </row>
        <row r="87">
          <cell r="D87" t="str">
            <v>AT - IT - süsteemiadministratsioon</v>
          </cell>
          <cell r="E87">
            <v>4</v>
          </cell>
          <cell r="F87">
            <v>427</v>
          </cell>
          <cell r="G87">
            <v>398</v>
          </cell>
          <cell r="H87">
            <v>457</v>
          </cell>
        </row>
        <row r="88">
          <cell r="D88" t="str">
            <v>AT - IT - süsteemianalüüs</v>
          </cell>
          <cell r="E88">
            <v>1</v>
          </cell>
          <cell r="F88">
            <v>160</v>
          </cell>
          <cell r="G88">
            <v>150</v>
          </cell>
          <cell r="H88">
            <v>171</v>
          </cell>
        </row>
        <row r="89">
          <cell r="D89" t="str">
            <v>AT - IT - süsteemianalüüs</v>
          </cell>
          <cell r="E89">
            <v>2</v>
          </cell>
          <cell r="F89">
            <v>244</v>
          </cell>
          <cell r="G89">
            <v>228</v>
          </cell>
          <cell r="H89">
            <v>261</v>
          </cell>
        </row>
        <row r="90">
          <cell r="D90" t="str">
            <v>AT - IT - süsteemianalüüs</v>
          </cell>
          <cell r="E90">
            <v>3</v>
          </cell>
          <cell r="F90">
            <v>323</v>
          </cell>
          <cell r="G90">
            <v>301</v>
          </cell>
          <cell r="H90">
            <v>345</v>
          </cell>
        </row>
        <row r="91">
          <cell r="D91" t="str">
            <v>AT - IT - süsteemianalüüs</v>
          </cell>
          <cell r="E91">
            <v>4</v>
          </cell>
          <cell r="F91">
            <v>492</v>
          </cell>
          <cell r="G91">
            <v>458</v>
          </cell>
          <cell r="H91">
            <v>526</v>
          </cell>
        </row>
        <row r="92">
          <cell r="D92" t="str">
            <v>AT - IT - süsteemiarhitektuur</v>
          </cell>
          <cell r="E92">
            <v>1</v>
          </cell>
          <cell r="F92">
            <v>323</v>
          </cell>
          <cell r="G92">
            <v>301</v>
          </cell>
          <cell r="H92">
            <v>345</v>
          </cell>
        </row>
        <row r="93">
          <cell r="D93" t="str">
            <v>AT - IT - süsteemiarhitektuur</v>
          </cell>
          <cell r="E93">
            <v>2</v>
          </cell>
          <cell r="F93">
            <v>427</v>
          </cell>
          <cell r="G93">
            <v>398</v>
          </cell>
          <cell r="H93">
            <v>457</v>
          </cell>
        </row>
        <row r="94">
          <cell r="D94" t="str">
            <v>AT - IT - süsteemiarhitektuur</v>
          </cell>
          <cell r="E94">
            <v>3</v>
          </cell>
          <cell r="F94">
            <v>566</v>
          </cell>
          <cell r="G94">
            <v>527</v>
          </cell>
          <cell r="H94">
            <v>605</v>
          </cell>
        </row>
        <row r="95">
          <cell r="D95" t="str">
            <v>AT - IT - tarkvara programmeerimine</v>
          </cell>
          <cell r="E95">
            <v>1</v>
          </cell>
          <cell r="F95">
            <v>160</v>
          </cell>
          <cell r="G95">
            <v>150</v>
          </cell>
          <cell r="H95">
            <v>171</v>
          </cell>
        </row>
        <row r="96">
          <cell r="D96" t="str">
            <v>AT - IT - tarkvara programmeerimine</v>
          </cell>
          <cell r="E96">
            <v>2</v>
          </cell>
          <cell r="F96">
            <v>212</v>
          </cell>
          <cell r="G96">
            <v>198</v>
          </cell>
          <cell r="H96">
            <v>227</v>
          </cell>
        </row>
        <row r="97">
          <cell r="D97" t="str">
            <v>AT - IT - tarkvara programmeerimine</v>
          </cell>
          <cell r="E97">
            <v>3</v>
          </cell>
          <cell r="F97">
            <v>281</v>
          </cell>
          <cell r="G97">
            <v>262</v>
          </cell>
          <cell r="H97">
            <v>300</v>
          </cell>
        </row>
        <row r="98">
          <cell r="D98" t="str">
            <v>AT - IT - tarkvara programmeerimine</v>
          </cell>
          <cell r="E98">
            <v>4</v>
          </cell>
          <cell r="F98">
            <v>427</v>
          </cell>
          <cell r="G98">
            <v>398</v>
          </cell>
          <cell r="H98">
            <v>457</v>
          </cell>
        </row>
        <row r="99">
          <cell r="D99" t="str">
            <v>AT - IT - teenuste tugi</v>
          </cell>
          <cell r="E99">
            <v>1</v>
          </cell>
          <cell r="F99">
            <v>160</v>
          </cell>
          <cell r="G99">
            <v>150</v>
          </cell>
          <cell r="H99">
            <v>171</v>
          </cell>
        </row>
        <row r="100">
          <cell r="D100" t="str">
            <v>AT - IT - teenuste tugi</v>
          </cell>
          <cell r="E100">
            <v>2</v>
          </cell>
          <cell r="F100">
            <v>212</v>
          </cell>
          <cell r="G100">
            <v>198</v>
          </cell>
          <cell r="H100">
            <v>227</v>
          </cell>
        </row>
        <row r="101">
          <cell r="D101" t="str">
            <v>AT - IT - teenuste tugi</v>
          </cell>
          <cell r="E101">
            <v>3</v>
          </cell>
          <cell r="F101">
            <v>281</v>
          </cell>
          <cell r="G101">
            <v>262</v>
          </cell>
          <cell r="H101">
            <v>300</v>
          </cell>
        </row>
        <row r="102">
          <cell r="D102" t="str">
            <v>AT - IT - testimine</v>
          </cell>
          <cell r="E102">
            <v>1</v>
          </cell>
          <cell r="F102">
            <v>121</v>
          </cell>
          <cell r="G102">
            <v>113</v>
          </cell>
          <cell r="H102">
            <v>129</v>
          </cell>
        </row>
        <row r="103">
          <cell r="D103" t="str">
            <v>AT - IT - testimine</v>
          </cell>
          <cell r="E103">
            <v>2</v>
          </cell>
          <cell r="F103">
            <v>160</v>
          </cell>
          <cell r="G103">
            <v>150</v>
          </cell>
          <cell r="H103">
            <v>171</v>
          </cell>
        </row>
        <row r="104">
          <cell r="D104" t="str">
            <v>AT - IT - testimine</v>
          </cell>
          <cell r="E104">
            <v>3</v>
          </cell>
          <cell r="F104">
            <v>212</v>
          </cell>
          <cell r="G104">
            <v>198</v>
          </cell>
          <cell r="H104">
            <v>227</v>
          </cell>
        </row>
        <row r="105">
          <cell r="D105" t="str">
            <v>AT - IT - testimine</v>
          </cell>
          <cell r="E105">
            <v>4</v>
          </cell>
          <cell r="F105">
            <v>281</v>
          </cell>
          <cell r="G105">
            <v>262</v>
          </cell>
          <cell r="H105">
            <v>300</v>
          </cell>
        </row>
        <row r="106">
          <cell r="D106" t="str">
            <v>AT - Kokad</v>
          </cell>
          <cell r="E106">
            <v>1</v>
          </cell>
          <cell r="F106">
            <v>79</v>
          </cell>
          <cell r="G106">
            <v>74</v>
          </cell>
          <cell r="H106">
            <v>84</v>
          </cell>
        </row>
        <row r="107">
          <cell r="D107" t="str">
            <v>AT - Kokad</v>
          </cell>
          <cell r="E107">
            <v>2</v>
          </cell>
          <cell r="F107">
            <v>105</v>
          </cell>
          <cell r="G107">
            <v>98</v>
          </cell>
          <cell r="H107">
            <v>112</v>
          </cell>
        </row>
        <row r="108">
          <cell r="D108" t="str">
            <v>AT - Kokad</v>
          </cell>
          <cell r="E108">
            <v>3</v>
          </cell>
          <cell r="F108">
            <v>160</v>
          </cell>
          <cell r="G108">
            <v>150</v>
          </cell>
          <cell r="H108">
            <v>171</v>
          </cell>
        </row>
        <row r="109">
          <cell r="D109" t="str">
            <v>AT - Kokad</v>
          </cell>
          <cell r="E109">
            <v>4</v>
          </cell>
          <cell r="F109">
            <v>281</v>
          </cell>
          <cell r="G109">
            <v>262</v>
          </cell>
          <cell r="H109">
            <v>300</v>
          </cell>
        </row>
        <row r="110">
          <cell r="D110" t="str">
            <v>AT - Kommunikatsiooni juhtimine</v>
          </cell>
          <cell r="E110">
            <v>1</v>
          </cell>
          <cell r="F110">
            <v>160</v>
          </cell>
          <cell r="G110">
            <v>150</v>
          </cell>
          <cell r="H110">
            <v>171</v>
          </cell>
        </row>
        <row r="111">
          <cell r="D111" t="str">
            <v>AT - Kommunikatsiooni juhtimine</v>
          </cell>
          <cell r="E111">
            <v>2</v>
          </cell>
          <cell r="F111">
            <v>244</v>
          </cell>
          <cell r="G111">
            <v>228</v>
          </cell>
          <cell r="H111">
            <v>261</v>
          </cell>
        </row>
        <row r="112">
          <cell r="D112" t="str">
            <v>AT - Kommunikatsiooni juhtimine</v>
          </cell>
          <cell r="E112">
            <v>3</v>
          </cell>
          <cell r="F112">
            <v>323</v>
          </cell>
          <cell r="G112">
            <v>301</v>
          </cell>
          <cell r="H112">
            <v>345</v>
          </cell>
        </row>
        <row r="113">
          <cell r="D113" t="str">
            <v>AT - Kommunikatsiooni juhtimine</v>
          </cell>
          <cell r="E113">
            <v>4</v>
          </cell>
          <cell r="F113">
            <v>492</v>
          </cell>
          <cell r="G113">
            <v>458</v>
          </cell>
          <cell r="H113">
            <v>526</v>
          </cell>
        </row>
        <row r="114">
          <cell r="D114" t="str">
            <v>AT - Koostöö korraldamine</v>
          </cell>
          <cell r="E114">
            <v>1</v>
          </cell>
          <cell r="F114">
            <v>160</v>
          </cell>
          <cell r="G114">
            <v>150</v>
          </cell>
          <cell r="H114">
            <v>171</v>
          </cell>
        </row>
        <row r="115">
          <cell r="D115" t="str">
            <v>AT - Koostöö korraldamine</v>
          </cell>
          <cell r="E115">
            <v>2</v>
          </cell>
          <cell r="F115">
            <v>212</v>
          </cell>
          <cell r="G115">
            <v>198</v>
          </cell>
          <cell r="H115">
            <v>227</v>
          </cell>
        </row>
        <row r="116">
          <cell r="D116" t="str">
            <v>AT - Koostöö korraldamine</v>
          </cell>
          <cell r="E116">
            <v>3</v>
          </cell>
          <cell r="F116">
            <v>281</v>
          </cell>
          <cell r="G116">
            <v>262</v>
          </cell>
          <cell r="H116">
            <v>300</v>
          </cell>
        </row>
        <row r="117">
          <cell r="D117" t="str">
            <v>AT - Koostöö korraldamine</v>
          </cell>
          <cell r="E117">
            <v>4</v>
          </cell>
          <cell r="F117">
            <v>427</v>
          </cell>
          <cell r="G117">
            <v>398</v>
          </cell>
          <cell r="H117">
            <v>457</v>
          </cell>
        </row>
        <row r="118">
          <cell r="D118" t="str">
            <v>AT - Korra tagamine</v>
          </cell>
          <cell r="E118">
            <v>1</v>
          </cell>
          <cell r="F118">
            <v>105</v>
          </cell>
          <cell r="G118">
            <v>98</v>
          </cell>
          <cell r="H118">
            <v>112</v>
          </cell>
        </row>
        <row r="119">
          <cell r="D119" t="str">
            <v>AT - Korra tagamine</v>
          </cell>
          <cell r="E119">
            <v>2</v>
          </cell>
          <cell r="F119">
            <v>139</v>
          </cell>
          <cell r="G119">
            <v>130</v>
          </cell>
          <cell r="H119">
            <v>149</v>
          </cell>
        </row>
        <row r="120">
          <cell r="D120" t="str">
            <v>AT - Korra tagamine</v>
          </cell>
          <cell r="E120">
            <v>3</v>
          </cell>
          <cell r="F120">
            <v>184</v>
          </cell>
          <cell r="G120">
            <v>172</v>
          </cell>
          <cell r="H120">
            <v>197</v>
          </cell>
        </row>
        <row r="121">
          <cell r="D121" t="str">
            <v>AT - Korra tagamine</v>
          </cell>
          <cell r="E121">
            <v>4</v>
          </cell>
          <cell r="F121">
            <v>212</v>
          </cell>
          <cell r="G121">
            <v>198</v>
          </cell>
          <cell r="H121">
            <v>227</v>
          </cell>
        </row>
        <row r="122">
          <cell r="D122" t="str">
            <v>AT - Korra tagamine</v>
          </cell>
          <cell r="E122">
            <v>5</v>
          </cell>
          <cell r="F122">
            <v>244</v>
          </cell>
          <cell r="G122">
            <v>228</v>
          </cell>
          <cell r="H122">
            <v>261</v>
          </cell>
        </row>
        <row r="123">
          <cell r="D123" t="str">
            <v>AT - Korra tagamine</v>
          </cell>
          <cell r="E123">
            <v>6</v>
          </cell>
          <cell r="F123">
            <v>323</v>
          </cell>
          <cell r="G123">
            <v>301</v>
          </cell>
          <cell r="H123">
            <v>345</v>
          </cell>
        </row>
        <row r="124">
          <cell r="D124" t="str">
            <v>AT - Korra tagamine</v>
          </cell>
          <cell r="E124">
            <v>7</v>
          </cell>
          <cell r="F124">
            <v>427</v>
          </cell>
          <cell r="G124">
            <v>398</v>
          </cell>
          <cell r="H124">
            <v>457</v>
          </cell>
        </row>
        <row r="125">
          <cell r="D125" t="str">
            <v>AT - Kunstilised tööd</v>
          </cell>
          <cell r="E125">
            <v>1</v>
          </cell>
          <cell r="F125">
            <v>139</v>
          </cell>
          <cell r="G125">
            <v>130</v>
          </cell>
          <cell r="H125">
            <v>149</v>
          </cell>
        </row>
        <row r="126">
          <cell r="D126" t="str">
            <v>AT - Kunstilised tööd</v>
          </cell>
          <cell r="E126">
            <v>2</v>
          </cell>
          <cell r="F126">
            <v>184</v>
          </cell>
          <cell r="G126">
            <v>172</v>
          </cell>
          <cell r="H126">
            <v>197</v>
          </cell>
        </row>
        <row r="127">
          <cell r="D127" t="str">
            <v>AT - Laboritööd</v>
          </cell>
          <cell r="E127">
            <v>1</v>
          </cell>
          <cell r="F127">
            <v>79</v>
          </cell>
          <cell r="G127">
            <v>74</v>
          </cell>
          <cell r="H127">
            <v>84</v>
          </cell>
        </row>
        <row r="128">
          <cell r="D128" t="str">
            <v>AT - Laboritööd</v>
          </cell>
          <cell r="E128">
            <v>2</v>
          </cell>
          <cell r="F128">
            <v>121</v>
          </cell>
          <cell r="G128">
            <v>113</v>
          </cell>
          <cell r="H128">
            <v>129</v>
          </cell>
        </row>
        <row r="129">
          <cell r="D129" t="str">
            <v>AT - Laboritööd</v>
          </cell>
          <cell r="E129">
            <v>3</v>
          </cell>
          <cell r="F129">
            <v>184</v>
          </cell>
          <cell r="G129">
            <v>172</v>
          </cell>
          <cell r="H129">
            <v>197</v>
          </cell>
        </row>
        <row r="130">
          <cell r="D130" t="str">
            <v>AT - Laboritööd</v>
          </cell>
          <cell r="E130">
            <v>4</v>
          </cell>
          <cell r="F130">
            <v>244</v>
          </cell>
          <cell r="G130">
            <v>228</v>
          </cell>
          <cell r="H130">
            <v>261</v>
          </cell>
        </row>
        <row r="131">
          <cell r="D131" t="str">
            <v>AT - Laboritööd</v>
          </cell>
          <cell r="E131">
            <v>5</v>
          </cell>
          <cell r="F131">
            <v>323</v>
          </cell>
          <cell r="G131">
            <v>301</v>
          </cell>
          <cell r="H131">
            <v>345</v>
          </cell>
        </row>
        <row r="132">
          <cell r="D132" t="str">
            <v>AT - Ladu</v>
          </cell>
          <cell r="E132">
            <v>1</v>
          </cell>
          <cell r="F132">
            <v>91</v>
          </cell>
          <cell r="G132">
            <v>85</v>
          </cell>
          <cell r="H132">
            <v>97</v>
          </cell>
        </row>
        <row r="133">
          <cell r="D133" t="str">
            <v>AT - Ladu</v>
          </cell>
          <cell r="E133">
            <v>2</v>
          </cell>
          <cell r="F133">
            <v>139</v>
          </cell>
          <cell r="G133">
            <v>130</v>
          </cell>
          <cell r="H133">
            <v>149</v>
          </cell>
        </row>
        <row r="134">
          <cell r="D134" t="str">
            <v>AT - Ladu</v>
          </cell>
          <cell r="E134">
            <v>3</v>
          </cell>
          <cell r="F134">
            <v>184</v>
          </cell>
          <cell r="G134">
            <v>172</v>
          </cell>
          <cell r="H134">
            <v>197</v>
          </cell>
        </row>
        <row r="135">
          <cell r="D135" t="str">
            <v>AT - Ladu</v>
          </cell>
          <cell r="E135">
            <v>4</v>
          </cell>
          <cell r="F135">
            <v>323</v>
          </cell>
          <cell r="G135">
            <v>301</v>
          </cell>
          <cell r="H135">
            <v>345</v>
          </cell>
        </row>
        <row r="136">
          <cell r="D136" t="str">
            <v>AT - Laevameeskond</v>
          </cell>
          <cell r="E136">
            <v>1</v>
          </cell>
          <cell r="F136">
            <v>91</v>
          </cell>
          <cell r="G136">
            <v>85</v>
          </cell>
          <cell r="H136">
            <v>97</v>
          </cell>
        </row>
        <row r="137">
          <cell r="D137" t="str">
            <v>AT - Laevameeskond</v>
          </cell>
          <cell r="E137">
            <v>2</v>
          </cell>
          <cell r="F137">
            <v>139</v>
          </cell>
          <cell r="G137">
            <v>130</v>
          </cell>
          <cell r="H137">
            <v>149</v>
          </cell>
        </row>
        <row r="138">
          <cell r="D138" t="str">
            <v>AT - Laevameeskond</v>
          </cell>
          <cell r="E138">
            <v>3</v>
          </cell>
          <cell r="F138">
            <v>160</v>
          </cell>
          <cell r="G138">
            <v>150</v>
          </cell>
          <cell r="H138">
            <v>171</v>
          </cell>
        </row>
        <row r="139">
          <cell r="D139" t="str">
            <v>AT - Laevameeskond</v>
          </cell>
          <cell r="E139" t="str">
            <v>4A</v>
          </cell>
          <cell r="F139">
            <v>184</v>
          </cell>
          <cell r="G139">
            <v>172</v>
          </cell>
          <cell r="H139">
            <v>197</v>
          </cell>
        </row>
        <row r="140">
          <cell r="D140" t="str">
            <v>AT - Laevameeskond</v>
          </cell>
          <cell r="E140" t="str">
            <v>4B</v>
          </cell>
          <cell r="F140">
            <v>212</v>
          </cell>
          <cell r="G140">
            <v>198</v>
          </cell>
          <cell r="H140">
            <v>227</v>
          </cell>
        </row>
        <row r="141">
          <cell r="D141" t="str">
            <v>AT - Laevameeskond</v>
          </cell>
          <cell r="E141" t="str">
            <v>4C</v>
          </cell>
          <cell r="F141">
            <v>244</v>
          </cell>
          <cell r="G141">
            <v>228</v>
          </cell>
          <cell r="H141">
            <v>261</v>
          </cell>
        </row>
        <row r="142">
          <cell r="D142" t="str">
            <v>AT - Laevameeskond</v>
          </cell>
          <cell r="E142" t="str">
            <v>5A</v>
          </cell>
          <cell r="F142">
            <v>281</v>
          </cell>
          <cell r="G142">
            <v>262</v>
          </cell>
          <cell r="H142">
            <v>300</v>
          </cell>
        </row>
        <row r="143">
          <cell r="D143" t="str">
            <v>AT - Laevameeskond</v>
          </cell>
          <cell r="E143" t="str">
            <v>5B</v>
          </cell>
          <cell r="F143">
            <v>323</v>
          </cell>
          <cell r="G143">
            <v>301</v>
          </cell>
          <cell r="H143">
            <v>345</v>
          </cell>
        </row>
        <row r="144">
          <cell r="D144" t="str">
            <v>AT - Laevameeskond</v>
          </cell>
          <cell r="E144" t="str">
            <v>5C</v>
          </cell>
          <cell r="F144">
            <v>371</v>
          </cell>
          <cell r="G144">
            <v>346</v>
          </cell>
          <cell r="H144">
            <v>397</v>
          </cell>
        </row>
        <row r="145">
          <cell r="D145" t="str">
            <v>AT - Logistika</v>
          </cell>
          <cell r="E145">
            <v>1</v>
          </cell>
          <cell r="F145">
            <v>121</v>
          </cell>
          <cell r="G145">
            <v>113</v>
          </cell>
          <cell r="H145">
            <v>129</v>
          </cell>
        </row>
        <row r="146">
          <cell r="D146" t="str">
            <v>AT - Logistika</v>
          </cell>
          <cell r="E146">
            <v>2</v>
          </cell>
          <cell r="F146">
            <v>184</v>
          </cell>
          <cell r="G146">
            <v>172</v>
          </cell>
          <cell r="H146">
            <v>197</v>
          </cell>
        </row>
        <row r="147">
          <cell r="D147" t="str">
            <v>AT - Logistika</v>
          </cell>
          <cell r="E147">
            <v>3</v>
          </cell>
          <cell r="F147">
            <v>244</v>
          </cell>
          <cell r="G147">
            <v>228</v>
          </cell>
          <cell r="H147">
            <v>261</v>
          </cell>
        </row>
        <row r="148">
          <cell r="D148" t="str">
            <v>AT - Logistika</v>
          </cell>
          <cell r="E148">
            <v>4</v>
          </cell>
          <cell r="F148">
            <v>371</v>
          </cell>
          <cell r="G148">
            <v>346</v>
          </cell>
          <cell r="H148">
            <v>397</v>
          </cell>
        </row>
        <row r="149">
          <cell r="D149" t="str">
            <v>AT - Logistika</v>
          </cell>
          <cell r="E149">
            <v>5</v>
          </cell>
          <cell r="F149">
            <v>492</v>
          </cell>
          <cell r="G149">
            <v>458</v>
          </cell>
          <cell r="H149">
            <v>526</v>
          </cell>
        </row>
        <row r="150">
          <cell r="D150" t="str">
            <v>AT - Meditsiin</v>
          </cell>
          <cell r="E150">
            <v>1</v>
          </cell>
          <cell r="F150">
            <v>91</v>
          </cell>
          <cell r="G150">
            <v>85</v>
          </cell>
          <cell r="H150">
            <v>97</v>
          </cell>
        </row>
        <row r="151">
          <cell r="D151" t="str">
            <v>AT - Meditsiin</v>
          </cell>
          <cell r="E151">
            <v>2</v>
          </cell>
          <cell r="F151">
            <v>139</v>
          </cell>
          <cell r="G151">
            <v>130</v>
          </cell>
          <cell r="H151">
            <v>149</v>
          </cell>
        </row>
        <row r="152">
          <cell r="D152" t="str">
            <v>AT - Meditsiin</v>
          </cell>
          <cell r="E152">
            <v>3</v>
          </cell>
          <cell r="F152">
            <v>244</v>
          </cell>
          <cell r="G152">
            <v>228</v>
          </cell>
          <cell r="H152">
            <v>261</v>
          </cell>
        </row>
        <row r="153">
          <cell r="D153" t="str">
            <v>AT - Meditsiin</v>
          </cell>
          <cell r="E153">
            <v>4</v>
          </cell>
          <cell r="F153">
            <v>371</v>
          </cell>
          <cell r="G153">
            <v>346</v>
          </cell>
          <cell r="H153">
            <v>397</v>
          </cell>
        </row>
        <row r="154">
          <cell r="D154" t="str">
            <v>AT - Muuseumitööd</v>
          </cell>
          <cell r="E154">
            <v>1</v>
          </cell>
          <cell r="F154">
            <v>212</v>
          </cell>
          <cell r="G154">
            <v>198</v>
          </cell>
          <cell r="H154">
            <v>227</v>
          </cell>
        </row>
        <row r="155">
          <cell r="D155" t="str">
            <v>AT - Muuseumitööd</v>
          </cell>
          <cell r="E155">
            <v>2</v>
          </cell>
          <cell r="F155">
            <v>281</v>
          </cell>
          <cell r="G155">
            <v>262</v>
          </cell>
          <cell r="H155">
            <v>300</v>
          </cell>
        </row>
        <row r="156">
          <cell r="D156" t="str">
            <v>AT - Muuseumitööd</v>
          </cell>
          <cell r="E156">
            <v>3</v>
          </cell>
          <cell r="F156">
            <v>427</v>
          </cell>
          <cell r="G156">
            <v>398</v>
          </cell>
          <cell r="H156">
            <v>457</v>
          </cell>
        </row>
        <row r="157">
          <cell r="D157" t="str">
            <v>AT - Muusikud</v>
          </cell>
          <cell r="E157">
            <v>1</v>
          </cell>
          <cell r="F157">
            <v>160</v>
          </cell>
          <cell r="G157">
            <v>150</v>
          </cell>
          <cell r="H157">
            <v>171</v>
          </cell>
        </row>
        <row r="158">
          <cell r="D158" t="str">
            <v>AT - Muusikud</v>
          </cell>
          <cell r="E158">
            <v>2</v>
          </cell>
          <cell r="F158">
            <v>244</v>
          </cell>
          <cell r="G158">
            <v>228</v>
          </cell>
          <cell r="H158">
            <v>261</v>
          </cell>
        </row>
        <row r="159">
          <cell r="D159" t="str">
            <v>AT - Nõustav ja kontrolliv järelevalve</v>
          </cell>
          <cell r="E159">
            <v>1</v>
          </cell>
          <cell r="F159">
            <v>121</v>
          </cell>
          <cell r="G159">
            <v>113</v>
          </cell>
          <cell r="H159">
            <v>129</v>
          </cell>
        </row>
        <row r="160">
          <cell r="D160" t="str">
            <v>AT - Nõustav ja kontrolliv järelevalve</v>
          </cell>
          <cell r="E160" t="str">
            <v>2A</v>
          </cell>
          <cell r="F160">
            <v>184</v>
          </cell>
          <cell r="G160">
            <v>172</v>
          </cell>
          <cell r="H160">
            <v>197</v>
          </cell>
        </row>
        <row r="161">
          <cell r="D161" t="str">
            <v>AT - Nõustav ja kontrolliv järelevalve</v>
          </cell>
          <cell r="E161" t="str">
            <v>2B</v>
          </cell>
          <cell r="F161">
            <v>212</v>
          </cell>
          <cell r="G161">
            <v>198</v>
          </cell>
          <cell r="H161">
            <v>227</v>
          </cell>
        </row>
        <row r="162">
          <cell r="D162" t="str">
            <v>AT - Nõustav ja kontrolliv järelevalve</v>
          </cell>
          <cell r="E162" t="str">
            <v>3A</v>
          </cell>
          <cell r="F162">
            <v>244</v>
          </cell>
          <cell r="G162">
            <v>228</v>
          </cell>
          <cell r="H162">
            <v>261</v>
          </cell>
        </row>
        <row r="163">
          <cell r="D163" t="str">
            <v>AT - Nõustav ja kontrolliv järelevalve</v>
          </cell>
          <cell r="E163" t="str">
            <v>3B</v>
          </cell>
          <cell r="F163">
            <v>281</v>
          </cell>
          <cell r="G163">
            <v>262</v>
          </cell>
          <cell r="H163">
            <v>300</v>
          </cell>
        </row>
        <row r="164">
          <cell r="D164" t="str">
            <v>AT - Nõustav ja kontrolliv järelevalve</v>
          </cell>
          <cell r="E164">
            <v>4</v>
          </cell>
          <cell r="F164">
            <v>323</v>
          </cell>
          <cell r="G164">
            <v>301</v>
          </cell>
          <cell r="H164">
            <v>345</v>
          </cell>
        </row>
        <row r="165">
          <cell r="D165" t="str">
            <v>AT - Nõustav ja kontrolliv järelevalve</v>
          </cell>
          <cell r="E165">
            <v>5</v>
          </cell>
          <cell r="F165">
            <v>371</v>
          </cell>
          <cell r="G165">
            <v>346</v>
          </cell>
          <cell r="H165">
            <v>397</v>
          </cell>
        </row>
        <row r="166">
          <cell r="D166" t="str">
            <v>AT - Nõustav ja kontrolliv järelevalve</v>
          </cell>
          <cell r="E166">
            <v>6</v>
          </cell>
          <cell r="F166">
            <v>427</v>
          </cell>
          <cell r="G166">
            <v>398</v>
          </cell>
          <cell r="H166">
            <v>457</v>
          </cell>
        </row>
        <row r="167">
          <cell r="D167" t="str">
            <v>AT - Operatiivinfo juhtimine</v>
          </cell>
          <cell r="E167">
            <v>1</v>
          </cell>
          <cell r="F167">
            <v>121</v>
          </cell>
          <cell r="G167">
            <v>113</v>
          </cell>
          <cell r="H167">
            <v>129</v>
          </cell>
        </row>
        <row r="168">
          <cell r="D168" t="str">
            <v>AT - Operatiivinfo juhtimine</v>
          </cell>
          <cell r="E168">
            <v>2</v>
          </cell>
          <cell r="F168">
            <v>160</v>
          </cell>
          <cell r="G168">
            <v>150</v>
          </cell>
          <cell r="H168">
            <v>171</v>
          </cell>
        </row>
        <row r="169">
          <cell r="D169" t="str">
            <v>AT - Operatiivinfo juhtimine</v>
          </cell>
          <cell r="E169" t="str">
            <v>3A</v>
          </cell>
          <cell r="F169">
            <v>244</v>
          </cell>
          <cell r="G169">
            <v>228</v>
          </cell>
          <cell r="H169">
            <v>261</v>
          </cell>
        </row>
        <row r="170">
          <cell r="D170" t="str">
            <v>AT - Operatiivinfo juhtimine</v>
          </cell>
          <cell r="E170" t="str">
            <v>3B</v>
          </cell>
          <cell r="F170">
            <v>244</v>
          </cell>
          <cell r="G170">
            <v>228</v>
          </cell>
          <cell r="H170">
            <v>261</v>
          </cell>
        </row>
        <row r="171">
          <cell r="D171" t="str">
            <v>AT - Operatiivinfo juhtimine</v>
          </cell>
          <cell r="E171">
            <v>4</v>
          </cell>
          <cell r="F171">
            <v>323</v>
          </cell>
          <cell r="G171">
            <v>301</v>
          </cell>
          <cell r="H171">
            <v>345</v>
          </cell>
        </row>
        <row r="172">
          <cell r="D172" t="str">
            <v>AT - Operatiivinfo juhtimine</v>
          </cell>
          <cell r="E172">
            <v>5</v>
          </cell>
          <cell r="F172">
            <v>492</v>
          </cell>
          <cell r="G172">
            <v>458</v>
          </cell>
          <cell r="H172">
            <v>526</v>
          </cell>
        </row>
        <row r="173">
          <cell r="D173" t="str">
            <v>AT - Organisatsiooni protsessid (tegevustõhusus ja kvaliteet)</v>
          </cell>
          <cell r="E173">
            <v>1</v>
          </cell>
          <cell r="F173">
            <v>139</v>
          </cell>
          <cell r="G173">
            <v>130</v>
          </cell>
          <cell r="H173">
            <v>149</v>
          </cell>
        </row>
        <row r="174">
          <cell r="D174" t="str">
            <v>AT - Organisatsiooni protsessid (tegevustõhusus ja kvaliteet)</v>
          </cell>
          <cell r="E174">
            <v>2</v>
          </cell>
          <cell r="F174">
            <v>184</v>
          </cell>
          <cell r="G174">
            <v>172</v>
          </cell>
          <cell r="H174">
            <v>197</v>
          </cell>
        </row>
        <row r="175">
          <cell r="D175" t="str">
            <v>AT - Organisatsiooni protsessid (tegevustõhusus ja kvaliteet)</v>
          </cell>
          <cell r="E175">
            <v>3</v>
          </cell>
          <cell r="F175">
            <v>244</v>
          </cell>
          <cell r="G175">
            <v>228</v>
          </cell>
          <cell r="H175">
            <v>261</v>
          </cell>
        </row>
        <row r="176">
          <cell r="D176" t="str">
            <v>AT - Organisatsiooni protsessid (tegevustõhusus ja kvaliteet)</v>
          </cell>
          <cell r="E176">
            <v>4</v>
          </cell>
          <cell r="F176">
            <v>323</v>
          </cell>
          <cell r="G176">
            <v>301</v>
          </cell>
          <cell r="H176">
            <v>345</v>
          </cell>
        </row>
        <row r="177">
          <cell r="D177" t="str">
            <v>AT - Organisatsiooni protsessid (tegevustõhusus ja kvaliteet)</v>
          </cell>
          <cell r="E177">
            <v>5</v>
          </cell>
          <cell r="F177">
            <v>427</v>
          </cell>
          <cell r="G177">
            <v>398</v>
          </cell>
          <cell r="H177">
            <v>457</v>
          </cell>
        </row>
        <row r="178">
          <cell r="D178" t="str">
            <v>AT - Oskustööd</v>
          </cell>
          <cell r="E178">
            <v>1</v>
          </cell>
          <cell r="F178">
            <v>105</v>
          </cell>
          <cell r="G178">
            <v>98</v>
          </cell>
          <cell r="H178">
            <v>112</v>
          </cell>
        </row>
        <row r="179">
          <cell r="D179" t="str">
            <v>AT - Oskustööd</v>
          </cell>
          <cell r="E179">
            <v>2</v>
          </cell>
          <cell r="F179">
            <v>139</v>
          </cell>
          <cell r="G179">
            <v>130</v>
          </cell>
          <cell r="H179">
            <v>149</v>
          </cell>
        </row>
        <row r="180">
          <cell r="D180" t="str">
            <v>AT - Oskustööd</v>
          </cell>
          <cell r="E180">
            <v>3</v>
          </cell>
          <cell r="F180">
            <v>184</v>
          </cell>
          <cell r="G180">
            <v>172</v>
          </cell>
          <cell r="H180">
            <v>197</v>
          </cell>
        </row>
        <row r="181">
          <cell r="D181" t="str">
            <v>AT - Oskustööd</v>
          </cell>
          <cell r="E181">
            <v>4</v>
          </cell>
          <cell r="F181">
            <v>212</v>
          </cell>
          <cell r="G181">
            <v>198</v>
          </cell>
          <cell r="H181">
            <v>227</v>
          </cell>
        </row>
        <row r="182">
          <cell r="D182" t="str">
            <v>AT - Personalijuhtimine</v>
          </cell>
          <cell r="E182">
            <v>1</v>
          </cell>
          <cell r="F182">
            <v>121</v>
          </cell>
          <cell r="G182">
            <v>113</v>
          </cell>
          <cell r="H182">
            <v>129</v>
          </cell>
        </row>
        <row r="183">
          <cell r="D183" t="str">
            <v>AT - Personalijuhtimine</v>
          </cell>
          <cell r="E183">
            <v>2</v>
          </cell>
          <cell r="F183">
            <v>184</v>
          </cell>
          <cell r="G183">
            <v>172</v>
          </cell>
          <cell r="H183">
            <v>197</v>
          </cell>
        </row>
        <row r="184">
          <cell r="D184" t="str">
            <v>AT - Personalijuhtimine</v>
          </cell>
          <cell r="E184">
            <v>3</v>
          </cell>
          <cell r="F184">
            <v>244</v>
          </cell>
          <cell r="G184">
            <v>228</v>
          </cell>
          <cell r="H184">
            <v>261</v>
          </cell>
        </row>
        <row r="185">
          <cell r="D185" t="str">
            <v>AT - Personalijuhtimine</v>
          </cell>
          <cell r="E185">
            <v>4</v>
          </cell>
          <cell r="F185">
            <v>323</v>
          </cell>
          <cell r="G185">
            <v>301</v>
          </cell>
          <cell r="H185">
            <v>345</v>
          </cell>
        </row>
        <row r="186">
          <cell r="D186" t="str">
            <v>AT - Personalijuhtimine</v>
          </cell>
          <cell r="E186">
            <v>5</v>
          </cell>
          <cell r="F186">
            <v>427</v>
          </cell>
          <cell r="G186">
            <v>398</v>
          </cell>
          <cell r="H186">
            <v>457</v>
          </cell>
        </row>
        <row r="187">
          <cell r="D187" t="str">
            <v>AT - Personalijuhtimine</v>
          </cell>
          <cell r="E187">
            <v>6</v>
          </cell>
          <cell r="F187">
            <v>492</v>
          </cell>
          <cell r="G187">
            <v>458</v>
          </cell>
          <cell r="H187">
            <v>526</v>
          </cell>
        </row>
        <row r="188">
          <cell r="D188" t="str">
            <v>AT - Piloodid</v>
          </cell>
          <cell r="E188">
            <v>1</v>
          </cell>
          <cell r="F188">
            <v>212</v>
          </cell>
          <cell r="G188">
            <v>198</v>
          </cell>
          <cell r="H188">
            <v>227</v>
          </cell>
        </row>
        <row r="189">
          <cell r="D189" t="str">
            <v>AT - Piloodid</v>
          </cell>
          <cell r="E189">
            <v>2</v>
          </cell>
          <cell r="F189">
            <v>281</v>
          </cell>
          <cell r="G189">
            <v>262</v>
          </cell>
          <cell r="H189">
            <v>300</v>
          </cell>
        </row>
        <row r="190">
          <cell r="D190" t="str">
            <v>AT - Poliitika rakendamine</v>
          </cell>
          <cell r="E190">
            <v>1</v>
          </cell>
          <cell r="F190">
            <v>160</v>
          </cell>
          <cell r="G190">
            <v>150</v>
          </cell>
          <cell r="H190">
            <v>171</v>
          </cell>
        </row>
        <row r="191">
          <cell r="D191" t="str">
            <v>AT - Poliitika rakendamine</v>
          </cell>
          <cell r="E191">
            <v>2</v>
          </cell>
          <cell r="F191">
            <v>212</v>
          </cell>
          <cell r="G191">
            <v>198</v>
          </cell>
          <cell r="H191">
            <v>227</v>
          </cell>
        </row>
        <row r="192">
          <cell r="D192" t="str">
            <v>AT - Poliitika rakendamine</v>
          </cell>
          <cell r="E192">
            <v>3</v>
          </cell>
          <cell r="F192">
            <v>281</v>
          </cell>
          <cell r="G192">
            <v>262</v>
          </cell>
          <cell r="H192">
            <v>300</v>
          </cell>
        </row>
        <row r="193">
          <cell r="D193" t="str">
            <v>AT - Poliitika rakendamine</v>
          </cell>
          <cell r="E193">
            <v>4</v>
          </cell>
          <cell r="F193">
            <v>323</v>
          </cell>
          <cell r="G193">
            <v>301</v>
          </cell>
          <cell r="H193">
            <v>345</v>
          </cell>
        </row>
        <row r="194">
          <cell r="D194" t="str">
            <v>AT - Poliitika rakendamine</v>
          </cell>
          <cell r="E194">
            <v>5</v>
          </cell>
          <cell r="F194">
            <v>427</v>
          </cell>
          <cell r="G194">
            <v>398</v>
          </cell>
          <cell r="H194">
            <v>457</v>
          </cell>
        </row>
        <row r="195">
          <cell r="D195" t="str">
            <v>AT - Poliitika rakendamine</v>
          </cell>
          <cell r="E195">
            <v>6</v>
          </cell>
          <cell r="F195">
            <v>492</v>
          </cell>
          <cell r="G195">
            <v>458</v>
          </cell>
          <cell r="H195">
            <v>526</v>
          </cell>
        </row>
        <row r="196">
          <cell r="D196" t="str">
            <v>AT - Poliitika rakendamine</v>
          </cell>
          <cell r="E196">
            <v>7</v>
          </cell>
          <cell r="F196">
            <v>566</v>
          </cell>
          <cell r="G196">
            <v>527</v>
          </cell>
          <cell r="H196">
            <v>605</v>
          </cell>
        </row>
        <row r="197">
          <cell r="D197" t="str">
            <v>AT - Projektijuhtimine</v>
          </cell>
          <cell r="E197">
            <v>1</v>
          </cell>
          <cell r="F197">
            <v>160</v>
          </cell>
          <cell r="G197">
            <v>150</v>
          </cell>
          <cell r="H197">
            <v>171</v>
          </cell>
        </row>
        <row r="198">
          <cell r="D198" t="str">
            <v>AT - Projektijuhtimine</v>
          </cell>
          <cell r="E198">
            <v>2</v>
          </cell>
          <cell r="F198">
            <v>212</v>
          </cell>
          <cell r="G198">
            <v>198</v>
          </cell>
          <cell r="H198">
            <v>227</v>
          </cell>
        </row>
        <row r="199">
          <cell r="D199" t="str">
            <v>AT - Projektijuhtimine</v>
          </cell>
          <cell r="E199">
            <v>3</v>
          </cell>
          <cell r="F199">
            <v>323</v>
          </cell>
          <cell r="G199">
            <v>301</v>
          </cell>
          <cell r="H199">
            <v>345</v>
          </cell>
        </row>
        <row r="200">
          <cell r="D200" t="str">
            <v>AT - Projektijuhtimine</v>
          </cell>
          <cell r="E200">
            <v>4</v>
          </cell>
          <cell r="F200">
            <v>427</v>
          </cell>
          <cell r="G200">
            <v>398</v>
          </cell>
          <cell r="H200">
            <v>457</v>
          </cell>
        </row>
        <row r="201">
          <cell r="D201" t="str">
            <v>AT - Päästetööd</v>
          </cell>
          <cell r="E201">
            <v>1</v>
          </cell>
          <cell r="F201">
            <v>139</v>
          </cell>
          <cell r="G201">
            <v>130</v>
          </cell>
          <cell r="H201">
            <v>149</v>
          </cell>
        </row>
        <row r="202">
          <cell r="D202" t="str">
            <v>AT - Päästetööd</v>
          </cell>
          <cell r="E202">
            <v>2</v>
          </cell>
          <cell r="F202">
            <v>184</v>
          </cell>
          <cell r="G202">
            <v>172</v>
          </cell>
          <cell r="H202">
            <v>197</v>
          </cell>
        </row>
        <row r="203">
          <cell r="D203" t="str">
            <v>AT - Päästetööd</v>
          </cell>
          <cell r="E203">
            <v>3</v>
          </cell>
          <cell r="F203">
            <v>212</v>
          </cell>
          <cell r="G203">
            <v>198</v>
          </cell>
          <cell r="H203">
            <v>227</v>
          </cell>
        </row>
        <row r="204">
          <cell r="D204" t="str">
            <v>AT - Päästetööd</v>
          </cell>
          <cell r="E204">
            <v>4</v>
          </cell>
          <cell r="F204">
            <v>244</v>
          </cell>
          <cell r="G204">
            <v>228</v>
          </cell>
          <cell r="H204">
            <v>261</v>
          </cell>
        </row>
        <row r="205">
          <cell r="D205" t="str">
            <v>AT - Päästetööd</v>
          </cell>
          <cell r="E205">
            <v>5</v>
          </cell>
          <cell r="F205">
            <v>323</v>
          </cell>
          <cell r="G205">
            <v>301</v>
          </cell>
          <cell r="H205">
            <v>345</v>
          </cell>
        </row>
        <row r="206">
          <cell r="D206" t="str">
            <v>AT - Päästetööd</v>
          </cell>
          <cell r="E206">
            <v>6</v>
          </cell>
          <cell r="F206">
            <v>427</v>
          </cell>
          <cell r="G206">
            <v>398</v>
          </cell>
          <cell r="H206">
            <v>457</v>
          </cell>
        </row>
        <row r="207">
          <cell r="D207" t="str">
            <v>AT - Raamatukogu</v>
          </cell>
          <cell r="E207">
            <v>1</v>
          </cell>
          <cell r="F207">
            <v>121</v>
          </cell>
          <cell r="G207">
            <v>113</v>
          </cell>
          <cell r="H207">
            <v>129</v>
          </cell>
        </row>
        <row r="208">
          <cell r="D208" t="str">
            <v>AT - Raamatukogu</v>
          </cell>
          <cell r="E208">
            <v>2</v>
          </cell>
          <cell r="F208">
            <v>184</v>
          </cell>
          <cell r="G208">
            <v>172</v>
          </cell>
          <cell r="H208">
            <v>197</v>
          </cell>
        </row>
        <row r="209">
          <cell r="D209" t="str">
            <v>AT - Raamatukogu</v>
          </cell>
          <cell r="E209">
            <v>3</v>
          </cell>
          <cell r="F209">
            <v>244</v>
          </cell>
          <cell r="G209">
            <v>228</v>
          </cell>
          <cell r="H209">
            <v>261</v>
          </cell>
        </row>
        <row r="210">
          <cell r="D210" t="str">
            <v>AT - Raamatukogu</v>
          </cell>
          <cell r="E210">
            <v>4</v>
          </cell>
          <cell r="F210">
            <v>427</v>
          </cell>
          <cell r="G210">
            <v>398</v>
          </cell>
          <cell r="H210">
            <v>457</v>
          </cell>
        </row>
        <row r="211">
          <cell r="D211" t="str">
            <v>AT - Raamatupidamine</v>
          </cell>
          <cell r="E211">
            <v>1</v>
          </cell>
          <cell r="F211">
            <v>105</v>
          </cell>
          <cell r="G211">
            <v>98</v>
          </cell>
          <cell r="H211">
            <v>112</v>
          </cell>
        </row>
        <row r="212">
          <cell r="D212" t="str">
            <v>AT - Raamatupidamine</v>
          </cell>
          <cell r="E212">
            <v>2</v>
          </cell>
          <cell r="F212">
            <v>184</v>
          </cell>
          <cell r="G212">
            <v>172</v>
          </cell>
          <cell r="H212">
            <v>197</v>
          </cell>
        </row>
        <row r="213">
          <cell r="D213" t="str">
            <v>AT - Raamatupidamine</v>
          </cell>
          <cell r="E213">
            <v>3</v>
          </cell>
          <cell r="F213">
            <v>244</v>
          </cell>
          <cell r="G213">
            <v>228</v>
          </cell>
          <cell r="H213">
            <v>261</v>
          </cell>
        </row>
        <row r="214">
          <cell r="D214" t="str">
            <v>AT - Raamatupidamine</v>
          </cell>
          <cell r="E214">
            <v>4</v>
          </cell>
          <cell r="F214">
            <v>371</v>
          </cell>
          <cell r="G214">
            <v>346</v>
          </cell>
          <cell r="H214">
            <v>397</v>
          </cell>
        </row>
        <row r="215">
          <cell r="D215" t="str">
            <v>AT - Raamatupidamine</v>
          </cell>
          <cell r="E215">
            <v>5</v>
          </cell>
          <cell r="F215">
            <v>492</v>
          </cell>
          <cell r="G215">
            <v>458</v>
          </cell>
          <cell r="H215">
            <v>526</v>
          </cell>
        </row>
        <row r="216">
          <cell r="D216" t="str">
            <v>AT - Registripidamine</v>
          </cell>
          <cell r="E216">
            <v>1</v>
          </cell>
          <cell r="F216">
            <v>121</v>
          </cell>
          <cell r="G216">
            <v>113</v>
          </cell>
          <cell r="H216">
            <v>129</v>
          </cell>
        </row>
        <row r="217">
          <cell r="D217" t="str">
            <v>AT - Registripidamine</v>
          </cell>
          <cell r="E217">
            <v>2</v>
          </cell>
          <cell r="F217">
            <v>184</v>
          </cell>
          <cell r="G217">
            <v>172</v>
          </cell>
          <cell r="H217">
            <v>197</v>
          </cell>
        </row>
        <row r="218">
          <cell r="D218" t="str">
            <v>AT - Registripidamine</v>
          </cell>
          <cell r="E218">
            <v>3</v>
          </cell>
          <cell r="F218">
            <v>212</v>
          </cell>
          <cell r="G218">
            <v>198</v>
          </cell>
          <cell r="H218">
            <v>227</v>
          </cell>
        </row>
        <row r="219">
          <cell r="D219" t="str">
            <v>AT - Registripidamine</v>
          </cell>
          <cell r="E219">
            <v>4</v>
          </cell>
          <cell r="F219">
            <v>281</v>
          </cell>
          <cell r="G219">
            <v>262</v>
          </cell>
          <cell r="H219">
            <v>300</v>
          </cell>
        </row>
        <row r="220">
          <cell r="D220" t="str">
            <v>AT - Registripidamine</v>
          </cell>
          <cell r="E220">
            <v>5</v>
          </cell>
          <cell r="F220">
            <v>427</v>
          </cell>
          <cell r="G220">
            <v>398</v>
          </cell>
          <cell r="H220">
            <v>457</v>
          </cell>
        </row>
        <row r="221">
          <cell r="D221" t="str">
            <v>AT - Riigihange</v>
          </cell>
          <cell r="E221">
            <v>1</v>
          </cell>
          <cell r="F221">
            <v>121</v>
          </cell>
          <cell r="G221">
            <v>113</v>
          </cell>
          <cell r="H221">
            <v>129</v>
          </cell>
        </row>
        <row r="222">
          <cell r="D222" t="str">
            <v>AT - Riigihange</v>
          </cell>
          <cell r="E222">
            <v>2</v>
          </cell>
          <cell r="F222">
            <v>212</v>
          </cell>
          <cell r="G222">
            <v>198</v>
          </cell>
          <cell r="H222">
            <v>227</v>
          </cell>
        </row>
        <row r="223">
          <cell r="D223" t="str">
            <v>AT - Riigihange</v>
          </cell>
          <cell r="E223">
            <v>3</v>
          </cell>
          <cell r="F223">
            <v>281</v>
          </cell>
          <cell r="G223">
            <v>262</v>
          </cell>
          <cell r="H223">
            <v>300</v>
          </cell>
        </row>
        <row r="224">
          <cell r="D224" t="str">
            <v>AT - Riigihange</v>
          </cell>
          <cell r="E224" t="str">
            <v>4A</v>
          </cell>
          <cell r="F224">
            <v>323</v>
          </cell>
          <cell r="G224">
            <v>301</v>
          </cell>
          <cell r="H224">
            <v>345</v>
          </cell>
        </row>
        <row r="225">
          <cell r="D225" t="str">
            <v>AT - Riigihange</v>
          </cell>
          <cell r="E225" t="str">
            <v>4B</v>
          </cell>
          <cell r="F225">
            <v>323</v>
          </cell>
          <cell r="G225">
            <v>301</v>
          </cell>
          <cell r="H225">
            <v>345</v>
          </cell>
        </row>
        <row r="226">
          <cell r="D226" t="str">
            <v>AT - Riigihange</v>
          </cell>
          <cell r="E226">
            <v>5</v>
          </cell>
          <cell r="F226">
            <v>427</v>
          </cell>
          <cell r="G226">
            <v>398</v>
          </cell>
          <cell r="H226">
            <v>457</v>
          </cell>
        </row>
        <row r="227">
          <cell r="D227" t="str">
            <v>AT - Riigikaitse</v>
          </cell>
          <cell r="E227" t="str">
            <v>1A</v>
          </cell>
          <cell r="F227">
            <v>105</v>
          </cell>
          <cell r="G227">
            <v>98</v>
          </cell>
          <cell r="H227">
            <v>112</v>
          </cell>
        </row>
        <row r="228">
          <cell r="D228" t="str">
            <v>AT - Riigikaitse</v>
          </cell>
          <cell r="E228" t="str">
            <v>1B</v>
          </cell>
          <cell r="F228">
            <v>121</v>
          </cell>
          <cell r="G228">
            <v>113</v>
          </cell>
          <cell r="H228">
            <v>129</v>
          </cell>
        </row>
        <row r="229">
          <cell r="D229" t="str">
            <v>AT - Riigikaitse</v>
          </cell>
          <cell r="E229">
            <v>2</v>
          </cell>
          <cell r="F229">
            <v>139</v>
          </cell>
          <cell r="G229">
            <v>130</v>
          </cell>
          <cell r="H229">
            <v>149</v>
          </cell>
        </row>
        <row r="230">
          <cell r="D230" t="str">
            <v>AT - Riigikaitse</v>
          </cell>
          <cell r="E230" t="str">
            <v>3A</v>
          </cell>
          <cell r="F230">
            <v>184</v>
          </cell>
          <cell r="G230">
            <v>172</v>
          </cell>
          <cell r="H230">
            <v>197</v>
          </cell>
        </row>
        <row r="231">
          <cell r="D231" t="str">
            <v>AT - Riigikaitse</v>
          </cell>
          <cell r="E231" t="str">
            <v>3B</v>
          </cell>
          <cell r="F231">
            <v>212</v>
          </cell>
          <cell r="G231">
            <v>198</v>
          </cell>
          <cell r="H231">
            <v>227</v>
          </cell>
        </row>
        <row r="232">
          <cell r="D232" t="str">
            <v>AT - Riigikaitse</v>
          </cell>
          <cell r="E232">
            <v>4</v>
          </cell>
          <cell r="F232">
            <v>281</v>
          </cell>
          <cell r="G232">
            <v>262</v>
          </cell>
          <cell r="H232">
            <v>300</v>
          </cell>
        </row>
        <row r="233">
          <cell r="D233" t="str">
            <v>AT - Riigikaitse</v>
          </cell>
          <cell r="E233" t="str">
            <v>5A</v>
          </cell>
          <cell r="F233">
            <v>371</v>
          </cell>
          <cell r="G233">
            <v>346</v>
          </cell>
          <cell r="H233">
            <v>397</v>
          </cell>
        </row>
        <row r="234">
          <cell r="D234" t="str">
            <v>AT - Riigikaitse</v>
          </cell>
          <cell r="E234" t="str">
            <v>5B</v>
          </cell>
          <cell r="F234">
            <v>492</v>
          </cell>
          <cell r="G234">
            <v>458</v>
          </cell>
          <cell r="H234">
            <v>526</v>
          </cell>
        </row>
        <row r="235">
          <cell r="D235" t="str">
            <v>AT - Riigikaitse</v>
          </cell>
          <cell r="E235">
            <v>6</v>
          </cell>
          <cell r="F235">
            <v>566</v>
          </cell>
          <cell r="G235">
            <v>527</v>
          </cell>
          <cell r="H235">
            <v>605</v>
          </cell>
        </row>
        <row r="236">
          <cell r="D236" t="str">
            <v>AT - Riigikaitse</v>
          </cell>
          <cell r="E236">
            <v>7</v>
          </cell>
          <cell r="F236">
            <v>651</v>
          </cell>
          <cell r="G236">
            <v>606</v>
          </cell>
          <cell r="H236">
            <v>696</v>
          </cell>
        </row>
        <row r="237">
          <cell r="D237" t="str">
            <v>AT - Riigikaitse</v>
          </cell>
          <cell r="E237">
            <v>8</v>
          </cell>
          <cell r="F237">
            <v>995</v>
          </cell>
          <cell r="G237">
            <v>926</v>
          </cell>
          <cell r="H237">
            <v>1066</v>
          </cell>
        </row>
        <row r="238">
          <cell r="D238" t="str">
            <v>AT - Riigivara haldamine ja sisseost</v>
          </cell>
          <cell r="E238">
            <v>1</v>
          </cell>
          <cell r="F238">
            <v>79</v>
          </cell>
          <cell r="G238">
            <v>74</v>
          </cell>
          <cell r="H238">
            <v>84</v>
          </cell>
        </row>
        <row r="239">
          <cell r="D239" t="str">
            <v>AT - Riigivara haldamine ja sisseost</v>
          </cell>
          <cell r="E239">
            <v>2</v>
          </cell>
          <cell r="F239">
            <v>121</v>
          </cell>
          <cell r="G239">
            <v>113</v>
          </cell>
          <cell r="H239">
            <v>129</v>
          </cell>
        </row>
        <row r="240">
          <cell r="D240" t="str">
            <v>AT - Riigivara haldamine ja sisseost</v>
          </cell>
          <cell r="E240">
            <v>3</v>
          </cell>
          <cell r="F240">
            <v>160</v>
          </cell>
          <cell r="G240">
            <v>150</v>
          </cell>
          <cell r="H240">
            <v>171</v>
          </cell>
        </row>
        <row r="241">
          <cell r="D241" t="str">
            <v>AT - Riigivara haldamine ja sisseost</v>
          </cell>
          <cell r="E241">
            <v>4</v>
          </cell>
          <cell r="F241">
            <v>244</v>
          </cell>
          <cell r="G241">
            <v>228</v>
          </cell>
          <cell r="H241">
            <v>261</v>
          </cell>
        </row>
        <row r="242">
          <cell r="D242" t="str">
            <v>AT - Riigivara haldamine ja sisseost</v>
          </cell>
          <cell r="E242" t="str">
            <v>5A</v>
          </cell>
          <cell r="F242">
            <v>281</v>
          </cell>
          <cell r="G242">
            <v>262</v>
          </cell>
          <cell r="H242">
            <v>300</v>
          </cell>
        </row>
        <row r="243">
          <cell r="D243" t="str">
            <v>AT - Riigivara haldamine ja sisseost</v>
          </cell>
          <cell r="E243" t="str">
            <v>5B</v>
          </cell>
          <cell r="F243">
            <v>281</v>
          </cell>
          <cell r="G243">
            <v>262</v>
          </cell>
          <cell r="H243">
            <v>300</v>
          </cell>
        </row>
        <row r="244">
          <cell r="D244" t="str">
            <v>AT - Riigivara haldamine ja sisseost</v>
          </cell>
          <cell r="E244">
            <v>6</v>
          </cell>
          <cell r="F244">
            <v>492</v>
          </cell>
          <cell r="G244">
            <v>458</v>
          </cell>
          <cell r="H244">
            <v>526</v>
          </cell>
        </row>
        <row r="245">
          <cell r="D245" t="str">
            <v>AT - Sadama kapten</v>
          </cell>
          <cell r="E245">
            <v>1</v>
          </cell>
          <cell r="F245">
            <v>212</v>
          </cell>
          <cell r="G245">
            <v>198</v>
          </cell>
          <cell r="H245">
            <v>227</v>
          </cell>
        </row>
        <row r="246">
          <cell r="D246" t="str">
            <v>AT - Sadama kapten</v>
          </cell>
          <cell r="E246">
            <v>2</v>
          </cell>
          <cell r="F246">
            <v>323</v>
          </cell>
          <cell r="G246">
            <v>301</v>
          </cell>
          <cell r="H246">
            <v>345</v>
          </cell>
        </row>
        <row r="247">
          <cell r="D247" t="str">
            <v>AT - Sekretäritööd</v>
          </cell>
          <cell r="E247">
            <v>1</v>
          </cell>
          <cell r="F247">
            <v>105</v>
          </cell>
          <cell r="G247">
            <v>98</v>
          </cell>
          <cell r="H247">
            <v>112</v>
          </cell>
        </row>
        <row r="248">
          <cell r="D248" t="str">
            <v>AT - Sekretäritööd</v>
          </cell>
          <cell r="E248">
            <v>2</v>
          </cell>
          <cell r="F248">
            <v>139</v>
          </cell>
          <cell r="G248">
            <v>130</v>
          </cell>
          <cell r="H248">
            <v>149</v>
          </cell>
        </row>
        <row r="249">
          <cell r="D249" t="str">
            <v>AT - Sekretäritööd</v>
          </cell>
          <cell r="E249">
            <v>3</v>
          </cell>
          <cell r="F249">
            <v>184</v>
          </cell>
          <cell r="G249">
            <v>172</v>
          </cell>
          <cell r="H249">
            <v>197</v>
          </cell>
        </row>
        <row r="250">
          <cell r="D250" t="str">
            <v>AT - Sekretäritööd</v>
          </cell>
          <cell r="E250">
            <v>4</v>
          </cell>
          <cell r="F250">
            <v>281</v>
          </cell>
          <cell r="G250">
            <v>262</v>
          </cell>
          <cell r="H250">
            <v>300</v>
          </cell>
        </row>
        <row r="251">
          <cell r="D251" t="str">
            <v>AT - Sisekontroll</v>
          </cell>
          <cell r="E251">
            <v>1</v>
          </cell>
          <cell r="F251">
            <v>139</v>
          </cell>
          <cell r="G251">
            <v>130</v>
          </cell>
          <cell r="H251">
            <v>149</v>
          </cell>
        </row>
        <row r="252">
          <cell r="D252" t="str">
            <v>AT - Sisekontroll</v>
          </cell>
          <cell r="E252">
            <v>2</v>
          </cell>
          <cell r="F252">
            <v>184</v>
          </cell>
          <cell r="G252">
            <v>172</v>
          </cell>
          <cell r="H252">
            <v>197</v>
          </cell>
        </row>
        <row r="253">
          <cell r="D253" t="str">
            <v>AT - Sisekontroll</v>
          </cell>
          <cell r="E253">
            <v>3</v>
          </cell>
          <cell r="F253">
            <v>281</v>
          </cell>
          <cell r="G253">
            <v>262</v>
          </cell>
          <cell r="H253">
            <v>300</v>
          </cell>
        </row>
        <row r="254">
          <cell r="D254" t="str">
            <v>AT - Sisekontroll</v>
          </cell>
          <cell r="E254">
            <v>4</v>
          </cell>
          <cell r="F254">
            <v>427</v>
          </cell>
          <cell r="G254">
            <v>398</v>
          </cell>
          <cell r="H254">
            <v>457</v>
          </cell>
        </row>
        <row r="255">
          <cell r="D255" t="str">
            <v>AT - Sotsiaalhoolekanne</v>
          </cell>
          <cell r="E255" t="str">
            <v>1A</v>
          </cell>
          <cell r="F255">
            <v>212</v>
          </cell>
          <cell r="G255">
            <v>198</v>
          </cell>
          <cell r="H255">
            <v>227</v>
          </cell>
        </row>
        <row r="256">
          <cell r="D256" t="str">
            <v>AT - Sotsiaalhoolekanne</v>
          </cell>
          <cell r="E256" t="str">
            <v>1B</v>
          </cell>
          <cell r="F256">
            <v>212</v>
          </cell>
          <cell r="G256">
            <v>198</v>
          </cell>
          <cell r="H256">
            <v>227</v>
          </cell>
        </row>
        <row r="257">
          <cell r="D257" t="str">
            <v>AT - Sotsiaalhoolekanne</v>
          </cell>
          <cell r="E257" t="str">
            <v>2A</v>
          </cell>
          <cell r="F257">
            <v>281</v>
          </cell>
          <cell r="G257">
            <v>262</v>
          </cell>
          <cell r="H257">
            <v>300</v>
          </cell>
        </row>
        <row r="258">
          <cell r="D258" t="str">
            <v>AT - Sotsiaalhoolekanne</v>
          </cell>
          <cell r="E258" t="str">
            <v>2B</v>
          </cell>
          <cell r="F258">
            <v>281</v>
          </cell>
          <cell r="G258">
            <v>262</v>
          </cell>
          <cell r="H258">
            <v>300</v>
          </cell>
        </row>
        <row r="259">
          <cell r="D259" t="str">
            <v>AT - Sotsiaalhoolekanne</v>
          </cell>
          <cell r="E259" t="str">
            <v>3A</v>
          </cell>
          <cell r="F259">
            <v>371</v>
          </cell>
          <cell r="G259">
            <v>346</v>
          </cell>
          <cell r="H259">
            <v>397</v>
          </cell>
        </row>
        <row r="260">
          <cell r="D260" t="str">
            <v>AT - Sotsiaalhoolekanne</v>
          </cell>
          <cell r="E260" t="str">
            <v>3B</v>
          </cell>
          <cell r="F260">
            <v>371</v>
          </cell>
          <cell r="G260">
            <v>346</v>
          </cell>
          <cell r="H260">
            <v>397</v>
          </cell>
        </row>
        <row r="261">
          <cell r="D261" t="str">
            <v>AT - Sotsiaalhoolekanne</v>
          </cell>
          <cell r="E261">
            <v>4</v>
          </cell>
          <cell r="F261">
            <v>427</v>
          </cell>
          <cell r="G261">
            <v>398</v>
          </cell>
          <cell r="H261">
            <v>457</v>
          </cell>
        </row>
        <row r="262">
          <cell r="D262" t="str">
            <v>AT - Sõidukijuhid</v>
          </cell>
          <cell r="E262">
            <v>1</v>
          </cell>
          <cell r="F262">
            <v>91</v>
          </cell>
          <cell r="G262">
            <v>85</v>
          </cell>
          <cell r="H262">
            <v>97</v>
          </cell>
        </row>
        <row r="263">
          <cell r="D263" t="str">
            <v>AT - Sõidukijuhid</v>
          </cell>
          <cell r="E263">
            <v>2</v>
          </cell>
          <cell r="F263">
            <v>121</v>
          </cell>
          <cell r="G263">
            <v>113</v>
          </cell>
          <cell r="H263">
            <v>129</v>
          </cell>
        </row>
        <row r="264">
          <cell r="D264" t="str">
            <v>AT - Sõidukijuhid</v>
          </cell>
          <cell r="E264">
            <v>3</v>
          </cell>
          <cell r="F264">
            <v>139</v>
          </cell>
          <cell r="G264">
            <v>130</v>
          </cell>
          <cell r="H264">
            <v>149</v>
          </cell>
        </row>
        <row r="265">
          <cell r="D265" t="str">
            <v>AT - Sõidukijuhid</v>
          </cell>
          <cell r="E265">
            <v>4</v>
          </cell>
          <cell r="F265">
            <v>160</v>
          </cell>
          <cell r="G265">
            <v>150</v>
          </cell>
          <cell r="H265">
            <v>171</v>
          </cell>
        </row>
        <row r="266">
          <cell r="D266" t="str">
            <v>AT - Toimetamine ja keeleline korrektuur</v>
          </cell>
          <cell r="E266">
            <v>1</v>
          </cell>
          <cell r="F266">
            <v>160</v>
          </cell>
          <cell r="G266">
            <v>150</v>
          </cell>
          <cell r="H266">
            <v>171</v>
          </cell>
        </row>
        <row r="267">
          <cell r="D267" t="str">
            <v>AT - Toimetamine ja keeleline korrektuur</v>
          </cell>
          <cell r="E267">
            <v>2</v>
          </cell>
          <cell r="F267">
            <v>212</v>
          </cell>
          <cell r="G267">
            <v>198</v>
          </cell>
          <cell r="H267">
            <v>227</v>
          </cell>
        </row>
        <row r="268">
          <cell r="D268" t="str">
            <v>AT - Tõlkimine</v>
          </cell>
          <cell r="E268">
            <v>1</v>
          </cell>
          <cell r="F268">
            <v>160</v>
          </cell>
          <cell r="G268">
            <v>150</v>
          </cell>
          <cell r="H268">
            <v>171</v>
          </cell>
        </row>
        <row r="269">
          <cell r="D269" t="str">
            <v>AT - Tõlkimine</v>
          </cell>
          <cell r="E269">
            <v>2</v>
          </cell>
          <cell r="F269">
            <v>212</v>
          </cell>
          <cell r="G269">
            <v>198</v>
          </cell>
          <cell r="H269">
            <v>227</v>
          </cell>
        </row>
        <row r="270">
          <cell r="D270" t="str">
            <v>AT - Tõlkimine</v>
          </cell>
          <cell r="E270">
            <v>3</v>
          </cell>
          <cell r="F270">
            <v>323</v>
          </cell>
          <cell r="G270">
            <v>301</v>
          </cell>
          <cell r="H270">
            <v>345</v>
          </cell>
        </row>
        <row r="271">
          <cell r="D271" t="str">
            <v>AT - Tõlkimine</v>
          </cell>
          <cell r="E271">
            <v>4</v>
          </cell>
          <cell r="F271">
            <v>371</v>
          </cell>
          <cell r="G271">
            <v>346</v>
          </cell>
          <cell r="H271">
            <v>397</v>
          </cell>
        </row>
        <row r="272">
          <cell r="D272" t="str">
            <v>AT - Uuriv järelevalve</v>
          </cell>
          <cell r="E272">
            <v>1</v>
          </cell>
          <cell r="F272">
            <v>160</v>
          </cell>
          <cell r="G272">
            <v>150</v>
          </cell>
          <cell r="H272">
            <v>171</v>
          </cell>
        </row>
        <row r="273">
          <cell r="D273" t="str">
            <v>AT - Uuriv järelevalve</v>
          </cell>
          <cell r="E273">
            <v>2</v>
          </cell>
          <cell r="F273">
            <v>184</v>
          </cell>
          <cell r="G273">
            <v>172</v>
          </cell>
          <cell r="H273">
            <v>197</v>
          </cell>
        </row>
        <row r="274">
          <cell r="D274" t="str">
            <v>AT - Uuriv järelevalve</v>
          </cell>
          <cell r="E274">
            <v>3</v>
          </cell>
          <cell r="F274">
            <v>244</v>
          </cell>
          <cell r="G274">
            <v>228</v>
          </cell>
          <cell r="H274">
            <v>261</v>
          </cell>
        </row>
        <row r="275">
          <cell r="D275" t="str">
            <v>AT - Uuriv järelevalve</v>
          </cell>
          <cell r="E275">
            <v>4</v>
          </cell>
          <cell r="F275">
            <v>323</v>
          </cell>
          <cell r="G275">
            <v>301</v>
          </cell>
          <cell r="H275">
            <v>345</v>
          </cell>
        </row>
        <row r="276">
          <cell r="D276" t="str">
            <v>AT - Uuriv järelevalve</v>
          </cell>
          <cell r="E276">
            <v>5</v>
          </cell>
          <cell r="F276">
            <v>371</v>
          </cell>
          <cell r="G276">
            <v>346</v>
          </cell>
          <cell r="H276">
            <v>397</v>
          </cell>
        </row>
        <row r="277">
          <cell r="D277" t="str">
            <v>AT - Uuriv järelevalve</v>
          </cell>
          <cell r="E277">
            <v>6</v>
          </cell>
          <cell r="F277">
            <v>492</v>
          </cell>
          <cell r="G277">
            <v>458</v>
          </cell>
          <cell r="H277">
            <v>526</v>
          </cell>
        </row>
        <row r="278">
          <cell r="D278" t="str">
            <v>AT - Võrguväljaannetes teabe avaldamine</v>
          </cell>
          <cell r="E278">
            <v>1</v>
          </cell>
          <cell r="F278">
            <v>121</v>
          </cell>
          <cell r="G278">
            <v>113</v>
          </cell>
          <cell r="H278">
            <v>129</v>
          </cell>
        </row>
        <row r="279">
          <cell r="D279" t="str">
            <v>AT - Võrguväljaannetes teabe avaldamine</v>
          </cell>
          <cell r="E279">
            <v>2</v>
          </cell>
          <cell r="F279">
            <v>184</v>
          </cell>
          <cell r="G279">
            <v>172</v>
          </cell>
          <cell r="H279">
            <v>197</v>
          </cell>
        </row>
        <row r="280">
          <cell r="D280" t="str">
            <v>AT - Võrguväljaannetes teabe avaldamine</v>
          </cell>
          <cell r="E280">
            <v>3</v>
          </cell>
          <cell r="F280">
            <v>212</v>
          </cell>
          <cell r="G280">
            <v>198</v>
          </cell>
          <cell r="H280">
            <v>227</v>
          </cell>
        </row>
        <row r="281">
          <cell r="D281" t="str">
            <v>AT - Võrguväljaannetes teabe avaldamine</v>
          </cell>
          <cell r="E281">
            <v>4</v>
          </cell>
          <cell r="F281">
            <v>281</v>
          </cell>
          <cell r="G281">
            <v>262</v>
          </cell>
          <cell r="H281">
            <v>300</v>
          </cell>
        </row>
        <row r="282">
          <cell r="D282" t="str">
            <v>AT - Õigusemõistmine</v>
          </cell>
          <cell r="E282">
            <v>1</v>
          </cell>
          <cell r="F282">
            <v>139</v>
          </cell>
          <cell r="G282">
            <v>130</v>
          </cell>
          <cell r="H282">
            <v>149</v>
          </cell>
        </row>
        <row r="283">
          <cell r="D283" t="str">
            <v>AT - Õigusemõistmine</v>
          </cell>
          <cell r="E283">
            <v>2</v>
          </cell>
          <cell r="F283">
            <v>160</v>
          </cell>
          <cell r="G283">
            <v>150</v>
          </cell>
          <cell r="H283">
            <v>171</v>
          </cell>
        </row>
        <row r="284">
          <cell r="D284" t="str">
            <v>AT - Õigusemõistmine</v>
          </cell>
          <cell r="E284" t="str">
            <v>3A</v>
          </cell>
          <cell r="F284">
            <v>244</v>
          </cell>
          <cell r="G284">
            <v>228</v>
          </cell>
          <cell r="H284">
            <v>261</v>
          </cell>
        </row>
        <row r="285">
          <cell r="D285" t="str">
            <v>AT - Õigusemõistmine</v>
          </cell>
          <cell r="E285" t="str">
            <v>3B</v>
          </cell>
          <cell r="F285">
            <v>281</v>
          </cell>
          <cell r="G285">
            <v>262</v>
          </cell>
          <cell r="H285">
            <v>300</v>
          </cell>
        </row>
        <row r="286">
          <cell r="D286" t="str">
            <v>AT - Õigusemõistmine</v>
          </cell>
          <cell r="E286" t="str">
            <v>3C</v>
          </cell>
          <cell r="F286">
            <v>323</v>
          </cell>
          <cell r="G286">
            <v>301</v>
          </cell>
          <cell r="H286">
            <v>345</v>
          </cell>
        </row>
        <row r="287">
          <cell r="D287" t="str">
            <v>AT - Õigusemõistmine</v>
          </cell>
          <cell r="E287" t="str">
            <v>4A</v>
          </cell>
          <cell r="F287">
            <v>371</v>
          </cell>
          <cell r="G287">
            <v>346</v>
          </cell>
          <cell r="H287">
            <v>397</v>
          </cell>
        </row>
        <row r="288">
          <cell r="D288" t="str">
            <v>AT - Õigusemõistmine</v>
          </cell>
          <cell r="E288" t="str">
            <v>4B</v>
          </cell>
          <cell r="F288">
            <v>427</v>
          </cell>
          <cell r="G288">
            <v>398</v>
          </cell>
          <cell r="H288">
            <v>457</v>
          </cell>
        </row>
        <row r="289">
          <cell r="D289" t="str">
            <v>AT - Õigusemõistmine</v>
          </cell>
          <cell r="E289">
            <v>5</v>
          </cell>
          <cell r="F289">
            <v>566</v>
          </cell>
          <cell r="G289">
            <v>527</v>
          </cell>
          <cell r="H289">
            <v>605</v>
          </cell>
        </row>
        <row r="290">
          <cell r="D290" t="str">
            <v>AT - Õigusloome</v>
          </cell>
          <cell r="E290">
            <v>1</v>
          </cell>
          <cell r="F290">
            <v>184</v>
          </cell>
          <cell r="G290">
            <v>172</v>
          </cell>
          <cell r="H290">
            <v>197</v>
          </cell>
        </row>
        <row r="291">
          <cell r="D291" t="str">
            <v>AT - Õigusloome</v>
          </cell>
          <cell r="E291">
            <v>2</v>
          </cell>
          <cell r="F291">
            <v>244</v>
          </cell>
          <cell r="G291">
            <v>228</v>
          </cell>
          <cell r="H291">
            <v>261</v>
          </cell>
        </row>
        <row r="292">
          <cell r="D292" t="str">
            <v>AT - Õigusloome</v>
          </cell>
          <cell r="E292">
            <v>3</v>
          </cell>
          <cell r="F292">
            <v>323</v>
          </cell>
          <cell r="G292">
            <v>301</v>
          </cell>
          <cell r="H292">
            <v>345</v>
          </cell>
        </row>
        <row r="293">
          <cell r="D293" t="str">
            <v>AT - Õigusloome</v>
          </cell>
          <cell r="E293">
            <v>4</v>
          </cell>
          <cell r="F293">
            <v>492</v>
          </cell>
          <cell r="G293">
            <v>458</v>
          </cell>
          <cell r="H293">
            <v>526</v>
          </cell>
        </row>
        <row r="294">
          <cell r="D294" t="str">
            <v>AT - Õigusteenused</v>
          </cell>
          <cell r="E294">
            <v>1</v>
          </cell>
          <cell r="F294">
            <v>160</v>
          </cell>
          <cell r="G294">
            <v>150</v>
          </cell>
          <cell r="H294">
            <v>171</v>
          </cell>
        </row>
        <row r="295">
          <cell r="D295" t="str">
            <v>AT - Õigusteenused</v>
          </cell>
          <cell r="E295">
            <v>2</v>
          </cell>
          <cell r="F295">
            <v>244</v>
          </cell>
          <cell r="G295">
            <v>228</v>
          </cell>
          <cell r="H295">
            <v>261</v>
          </cell>
        </row>
        <row r="296">
          <cell r="D296" t="str">
            <v>AT - Õigusteenused</v>
          </cell>
          <cell r="E296">
            <v>3</v>
          </cell>
          <cell r="F296">
            <v>323</v>
          </cell>
          <cell r="G296">
            <v>301</v>
          </cell>
          <cell r="H296">
            <v>345</v>
          </cell>
        </row>
        <row r="297">
          <cell r="D297" t="str">
            <v>AT - Õigusteenused</v>
          </cell>
          <cell r="E297">
            <v>4</v>
          </cell>
          <cell r="F297">
            <v>427</v>
          </cell>
          <cell r="G297">
            <v>398</v>
          </cell>
          <cell r="H297">
            <v>457</v>
          </cell>
        </row>
        <row r="298">
          <cell r="D298" t="str">
            <v>AT - Õigusteenused</v>
          </cell>
          <cell r="E298">
            <v>5</v>
          </cell>
          <cell r="F298">
            <v>566</v>
          </cell>
          <cell r="G298">
            <v>527</v>
          </cell>
          <cell r="H298">
            <v>605</v>
          </cell>
        </row>
        <row r="299">
          <cell r="D299" t="str">
            <v>AT - Üldjuhtimine</v>
          </cell>
          <cell r="E299">
            <v>1</v>
          </cell>
          <cell r="F299">
            <v>244</v>
          </cell>
          <cell r="G299">
            <v>228</v>
          </cell>
          <cell r="H299">
            <v>261</v>
          </cell>
        </row>
        <row r="300">
          <cell r="D300" t="str">
            <v>AT - Üldjuhtimine</v>
          </cell>
          <cell r="E300">
            <v>2</v>
          </cell>
          <cell r="F300">
            <v>323</v>
          </cell>
          <cell r="G300">
            <v>301</v>
          </cell>
          <cell r="H300">
            <v>345</v>
          </cell>
        </row>
        <row r="301">
          <cell r="D301" t="str">
            <v>AT - Üldjuhtimine</v>
          </cell>
          <cell r="E301">
            <v>3</v>
          </cell>
          <cell r="F301">
            <v>427</v>
          </cell>
          <cell r="G301">
            <v>398</v>
          </cell>
          <cell r="H301">
            <v>457</v>
          </cell>
        </row>
        <row r="302">
          <cell r="D302" t="str">
            <v>AT - Üldjuhtimine</v>
          </cell>
          <cell r="E302">
            <v>4</v>
          </cell>
          <cell r="F302">
            <v>492</v>
          </cell>
          <cell r="G302">
            <v>458</v>
          </cell>
          <cell r="H302">
            <v>526</v>
          </cell>
        </row>
        <row r="303">
          <cell r="D303" t="str">
            <v>AT - Üldjuhtimine</v>
          </cell>
          <cell r="E303">
            <v>5</v>
          </cell>
          <cell r="F303">
            <v>566</v>
          </cell>
          <cell r="G303">
            <v>527</v>
          </cell>
          <cell r="H303">
            <v>605</v>
          </cell>
        </row>
        <row r="304">
          <cell r="D304" t="str">
            <v>AT - Üldjuhtimine</v>
          </cell>
          <cell r="E304">
            <v>6</v>
          </cell>
          <cell r="F304">
            <v>651</v>
          </cell>
          <cell r="G304">
            <v>606</v>
          </cell>
          <cell r="H304">
            <v>696</v>
          </cell>
        </row>
        <row r="305">
          <cell r="D305" t="str">
            <v>AT - Üldjuhtimine</v>
          </cell>
          <cell r="E305" t="str">
            <v>7A</v>
          </cell>
          <cell r="F305">
            <v>864</v>
          </cell>
          <cell r="G305">
            <v>804</v>
          </cell>
          <cell r="H305">
            <v>925</v>
          </cell>
        </row>
        <row r="306">
          <cell r="D306" t="str">
            <v>AT - Üldjuhtimine</v>
          </cell>
          <cell r="E306" t="str">
            <v>7B</v>
          </cell>
          <cell r="F306">
            <v>995</v>
          </cell>
          <cell r="G306">
            <v>926</v>
          </cell>
          <cell r="H306">
            <v>1066</v>
          </cell>
        </row>
        <row r="307">
          <cell r="D307" t="str">
            <v>AT - Üldtööd</v>
          </cell>
          <cell r="E307">
            <v>1</v>
          </cell>
          <cell r="F307">
            <v>79</v>
          </cell>
          <cell r="G307">
            <v>74</v>
          </cell>
          <cell r="H307">
            <v>84</v>
          </cell>
        </row>
        <row r="308">
          <cell r="D308" t="str">
            <v>AT - Üldtööd</v>
          </cell>
          <cell r="E308">
            <v>2</v>
          </cell>
          <cell r="F308">
            <v>121</v>
          </cell>
          <cell r="G308">
            <v>113</v>
          </cell>
          <cell r="H308">
            <v>129</v>
          </cell>
        </row>
        <row r="309">
          <cell r="D309" t="str">
            <v>AT - Üldtööd</v>
          </cell>
          <cell r="E309">
            <v>3</v>
          </cell>
          <cell r="F309">
            <v>160</v>
          </cell>
          <cell r="G309">
            <v>150</v>
          </cell>
          <cell r="H309">
            <v>171</v>
          </cell>
        </row>
        <row r="310">
          <cell r="D310" t="str">
            <v>AT - Üldtööd</v>
          </cell>
          <cell r="E310">
            <v>4</v>
          </cell>
          <cell r="F310">
            <v>244</v>
          </cell>
          <cell r="G310">
            <v>228</v>
          </cell>
          <cell r="H310">
            <v>261</v>
          </cell>
        </row>
        <row r="311">
          <cell r="D311" t="str">
            <v>AT - Üldtööd</v>
          </cell>
          <cell r="E311">
            <v>5</v>
          </cell>
          <cell r="F311">
            <v>323</v>
          </cell>
          <cell r="G311">
            <v>301</v>
          </cell>
          <cell r="H311">
            <v>345</v>
          </cell>
        </row>
        <row r="312">
          <cell r="D312" t="str">
            <v>AT - Üldtööd</v>
          </cell>
          <cell r="E312">
            <v>6</v>
          </cell>
          <cell r="F312">
            <v>427</v>
          </cell>
          <cell r="G312">
            <v>398</v>
          </cell>
          <cell r="H312">
            <v>457</v>
          </cell>
        </row>
        <row r="313">
          <cell r="D313" t="str">
            <v>AT - Ürituste ja tseremooniate korraldamine</v>
          </cell>
          <cell r="E313">
            <v>1</v>
          </cell>
          <cell r="F313">
            <v>105</v>
          </cell>
          <cell r="G313">
            <v>98</v>
          </cell>
          <cell r="H313">
            <v>112</v>
          </cell>
        </row>
        <row r="314">
          <cell r="D314" t="str">
            <v>AT - Ürituste ja tseremooniate korraldamine</v>
          </cell>
          <cell r="E314">
            <v>2</v>
          </cell>
          <cell r="F314">
            <v>139</v>
          </cell>
          <cell r="G314">
            <v>130</v>
          </cell>
          <cell r="H314">
            <v>149</v>
          </cell>
        </row>
        <row r="315">
          <cell r="D315" t="str">
            <v>AT - Ürituste ja tseremooniate korraldamine</v>
          </cell>
          <cell r="E315">
            <v>3</v>
          </cell>
          <cell r="F315">
            <v>184</v>
          </cell>
          <cell r="G315">
            <v>172</v>
          </cell>
          <cell r="H315">
            <v>197</v>
          </cell>
        </row>
        <row r="316">
          <cell r="D316" t="str">
            <v>AT - Ürituste ja tseremooniate korraldamine</v>
          </cell>
          <cell r="E316">
            <v>4</v>
          </cell>
          <cell r="F316">
            <v>244</v>
          </cell>
          <cell r="G316">
            <v>228</v>
          </cell>
          <cell r="H316">
            <v>261</v>
          </cell>
        </row>
        <row r="317">
          <cell r="D317" t="str">
            <v>AT - Ürituste ja tseremooniate korraldamine</v>
          </cell>
          <cell r="E317">
            <v>5</v>
          </cell>
          <cell r="F317">
            <v>427</v>
          </cell>
          <cell r="G317">
            <v>398</v>
          </cell>
          <cell r="H317">
            <v>457</v>
          </cell>
        </row>
        <row r="318">
          <cell r="D318">
            <v>0</v>
          </cell>
          <cell r="E318">
            <v>0</v>
          </cell>
        </row>
        <row r="319">
          <cell r="D319">
            <v>0</v>
          </cell>
          <cell r="E319">
            <v>0</v>
          </cell>
        </row>
        <row r="320">
          <cell r="D320">
            <v>0</v>
          </cell>
          <cell r="E320">
            <v>0</v>
          </cell>
        </row>
        <row r="321">
          <cell r="D321">
            <v>0</v>
          </cell>
          <cell r="E321">
            <v>0</v>
          </cell>
        </row>
        <row r="322">
          <cell r="D322">
            <v>0</v>
          </cell>
          <cell r="E322">
            <v>0</v>
          </cell>
        </row>
        <row r="323">
          <cell r="D323">
            <v>0</v>
          </cell>
          <cell r="E323">
            <v>0</v>
          </cell>
        </row>
        <row r="324">
          <cell r="D324">
            <v>0</v>
          </cell>
          <cell r="E324">
            <v>0</v>
          </cell>
        </row>
        <row r="325">
          <cell r="D325">
            <v>0</v>
          </cell>
          <cell r="E325">
            <v>0</v>
          </cell>
        </row>
        <row r="326">
          <cell r="D326">
            <v>0</v>
          </cell>
          <cell r="E326">
            <v>0</v>
          </cell>
        </row>
        <row r="327">
          <cell r="D327">
            <v>0</v>
          </cell>
          <cell r="E327">
            <v>0</v>
          </cell>
        </row>
        <row r="328">
          <cell r="D328">
            <v>0</v>
          </cell>
          <cell r="E328">
            <v>0</v>
          </cell>
        </row>
        <row r="329">
          <cell r="D329">
            <v>0</v>
          </cell>
          <cell r="E329">
            <v>0</v>
          </cell>
        </row>
        <row r="330">
          <cell r="D330">
            <v>0</v>
          </cell>
          <cell r="E330">
            <v>0</v>
          </cell>
        </row>
        <row r="331">
          <cell r="D331">
            <v>0</v>
          </cell>
          <cell r="E331">
            <v>0</v>
          </cell>
        </row>
      </sheetData>
      <sheetData sheetId="11">
        <row r="2">
          <cell r="E2" t="str">
            <v>English</v>
          </cell>
        </row>
        <row r="3">
          <cell r="E3" t="str">
            <v>Estonian</v>
          </cell>
        </row>
        <row r="4">
          <cell r="E4" t="str">
            <v>Latvian</v>
          </cell>
        </row>
        <row r="5">
          <cell r="E5" t="str">
            <v>Lithuanian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 t="str">
            <v>1A</v>
          </cell>
        </row>
        <row r="12">
          <cell r="H12" t="str">
            <v>1B</v>
          </cell>
        </row>
        <row r="13">
          <cell r="H13">
            <v>2</v>
          </cell>
        </row>
        <row r="14">
          <cell r="H14" t="str">
            <v>2A</v>
          </cell>
        </row>
        <row r="15">
          <cell r="H15" t="str">
            <v>2B</v>
          </cell>
        </row>
        <row r="16">
          <cell r="H16" t="str">
            <v>2C</v>
          </cell>
        </row>
        <row r="17">
          <cell r="H17">
            <v>3</v>
          </cell>
        </row>
        <row r="18">
          <cell r="H18" t="str">
            <v>3A</v>
          </cell>
        </row>
        <row r="19">
          <cell r="H19" t="str">
            <v>3B</v>
          </cell>
        </row>
        <row r="20">
          <cell r="H20">
            <v>4</v>
          </cell>
        </row>
        <row r="21">
          <cell r="H21" t="str">
            <v>4A</v>
          </cell>
        </row>
        <row r="22">
          <cell r="H22" t="str">
            <v>4B</v>
          </cell>
        </row>
        <row r="23">
          <cell r="H23" t="str">
            <v>4C</v>
          </cell>
        </row>
        <row r="24">
          <cell r="H24">
            <v>5</v>
          </cell>
        </row>
        <row r="25">
          <cell r="H25" t="str">
            <v>5A</v>
          </cell>
        </row>
        <row r="26">
          <cell r="H26" t="str">
            <v>5B</v>
          </cell>
        </row>
        <row r="27">
          <cell r="H27" t="str">
            <v>5C</v>
          </cell>
        </row>
        <row r="28">
          <cell r="H28">
            <v>6</v>
          </cell>
        </row>
        <row r="29">
          <cell r="H29" t="str">
            <v>6A</v>
          </cell>
        </row>
        <row r="30">
          <cell r="H30" t="str">
            <v>6B</v>
          </cell>
        </row>
        <row r="31">
          <cell r="H31">
            <v>7</v>
          </cell>
        </row>
        <row r="32">
          <cell r="H32" t="str">
            <v>7A</v>
          </cell>
        </row>
        <row r="33">
          <cell r="H33" t="str">
            <v>7B</v>
          </cell>
        </row>
        <row r="34">
          <cell r="H34">
            <v>8</v>
          </cell>
        </row>
        <row r="35">
          <cell r="H35">
            <v>9</v>
          </cell>
        </row>
      </sheetData>
      <sheetData sheetId="12"/>
      <sheetData sheetId="13"/>
      <sheetData sheetId="14" refreshError="1"/>
      <sheetData sheetId="15"/>
      <sheetData sheetId="16"/>
      <sheetData sheetId="17">
        <row r="2">
          <cell r="D2" t="str">
            <v>Actual Job Family</v>
          </cell>
        </row>
      </sheetData>
      <sheetData sheetId="18">
        <row r="2">
          <cell r="E2" t="str">
            <v>English</v>
          </cell>
        </row>
      </sheetData>
      <sheetData sheetId="19"/>
      <sheetData sheetId="20"/>
      <sheetData sheetId="21"/>
      <sheetData sheetId="22"/>
      <sheetData sheetId="23">
        <row r="2">
          <cell r="D2" t="str">
            <v>Actual Job Family</v>
          </cell>
        </row>
      </sheetData>
      <sheetData sheetId="24">
        <row r="2">
          <cell r="E2" t="str">
            <v>English</v>
          </cell>
        </row>
      </sheetData>
      <sheetData sheetId="25"/>
      <sheetData sheetId="26"/>
      <sheetData sheetId="27"/>
      <sheetData sheetId="28"/>
      <sheetData sheetId="29">
        <row r="2">
          <cell r="D2" t="str">
            <v>Actual Job Family</v>
          </cell>
        </row>
      </sheetData>
      <sheetData sheetId="30">
        <row r="2">
          <cell r="E2" t="str">
            <v>English</v>
          </cell>
        </row>
      </sheetData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79998168889431442"/>
  </sheetPr>
  <dimension ref="A1:K110"/>
  <sheetViews>
    <sheetView showZero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47.5703125" customWidth="1"/>
    <col min="2" max="2" width="12.42578125" style="239" customWidth="1"/>
    <col min="3" max="4" width="12.42578125" style="239" hidden="1" customWidth="1"/>
    <col min="5" max="5" width="12.42578125" style="239" customWidth="1"/>
    <col min="6" max="6" width="12.7109375" bestFit="1" customWidth="1"/>
    <col min="7" max="7" width="11.7109375" bestFit="1" customWidth="1"/>
    <col min="9" max="9" width="12.42578125" customWidth="1"/>
    <col min="10" max="10" width="9.140625" customWidth="1"/>
  </cols>
  <sheetData>
    <row r="1" spans="1:11" ht="15" x14ac:dyDescent="0.25">
      <c r="A1" s="13" t="s">
        <v>54</v>
      </c>
    </row>
    <row r="2" spans="1:11" x14ac:dyDescent="0.2">
      <c r="A2" s="14"/>
      <c r="B2" s="240"/>
      <c r="C2" s="240"/>
      <c r="D2" s="240"/>
      <c r="E2" s="240"/>
      <c r="J2" s="806" t="s">
        <v>53</v>
      </c>
    </row>
    <row r="3" spans="1:11" ht="25.5" customHeight="1" x14ac:dyDescent="0.2">
      <c r="A3" s="3"/>
      <c r="B3" s="1000">
        <v>2021</v>
      </c>
      <c r="C3" s="1001"/>
      <c r="D3" s="1001"/>
      <c r="E3" s="1002"/>
      <c r="F3" s="807">
        <v>2022</v>
      </c>
      <c r="G3" s="998" t="s">
        <v>1075</v>
      </c>
      <c r="H3" s="999"/>
      <c r="I3" s="996" t="s">
        <v>1076</v>
      </c>
      <c r="J3" s="997"/>
    </row>
    <row r="4" spans="1:11" ht="25.5" x14ac:dyDescent="0.2">
      <c r="A4" s="42"/>
      <c r="B4" s="813" t="s">
        <v>859</v>
      </c>
      <c r="C4" s="813" t="s">
        <v>984</v>
      </c>
      <c r="D4" s="813" t="s">
        <v>1066</v>
      </c>
      <c r="E4" s="813" t="s">
        <v>860</v>
      </c>
      <c r="F4" s="808" t="s">
        <v>1074</v>
      </c>
      <c r="G4" s="809" t="s">
        <v>53</v>
      </c>
      <c r="H4" s="810" t="s">
        <v>981</v>
      </c>
      <c r="I4" s="811" t="s">
        <v>53</v>
      </c>
      <c r="J4" s="812" t="s">
        <v>981</v>
      </c>
    </row>
    <row r="5" spans="1:11" x14ac:dyDescent="0.2">
      <c r="A5" s="42" t="s">
        <v>55</v>
      </c>
      <c r="B5" s="241"/>
      <c r="C5" s="241"/>
      <c r="D5" s="241"/>
      <c r="E5" s="241"/>
    </row>
    <row r="6" spans="1:11" x14ac:dyDescent="0.2">
      <c r="A6" s="17"/>
      <c r="B6" s="242"/>
      <c r="C6" s="242"/>
      <c r="D6" s="242"/>
      <c r="E6" s="242"/>
    </row>
    <row r="7" spans="1:11" x14ac:dyDescent="0.2">
      <c r="A7" s="617" t="s">
        <v>526</v>
      </c>
      <c r="B7" s="618">
        <f>SUM(B8:B22)</f>
        <v>765237583</v>
      </c>
      <c r="C7" s="618">
        <f t="shared" ref="C7:D7" si="0">SUM(C8:C22)</f>
        <v>21271241</v>
      </c>
      <c r="D7" s="618">
        <f t="shared" si="0"/>
        <v>4081711</v>
      </c>
      <c r="E7" s="618">
        <f>B7+C7+D7</f>
        <v>790590535</v>
      </c>
      <c r="F7" s="618">
        <f>SUM(F8:F23)</f>
        <v>868520541</v>
      </c>
      <c r="G7" s="618">
        <f t="shared" ref="G7:G38" si="1">F7-B7</f>
        <v>103282958</v>
      </c>
      <c r="H7" s="792">
        <f t="shared" ref="H7:H14" si="2">G7/B7</f>
        <v>0.13496848598979488</v>
      </c>
      <c r="I7" s="618">
        <f>F7-E7</f>
        <v>77930006</v>
      </c>
      <c r="J7" s="792">
        <f>I7/E7</f>
        <v>9.857189347707028E-2</v>
      </c>
      <c r="K7" s="133"/>
    </row>
    <row r="8" spans="1:11" x14ac:dyDescent="0.2">
      <c r="A8" s="619" t="s">
        <v>56</v>
      </c>
      <c r="B8" s="600">
        <v>509148536</v>
      </c>
      <c r="C8" s="600">
        <v>10000000</v>
      </c>
      <c r="D8" s="600">
        <v>3720000</v>
      </c>
      <c r="E8" s="600">
        <f t="shared" ref="E8:E73" si="3">B8+C8+D8</f>
        <v>522868536</v>
      </c>
      <c r="F8" s="600">
        <v>581400000</v>
      </c>
      <c r="G8" s="600">
        <f t="shared" si="1"/>
        <v>72251464</v>
      </c>
      <c r="H8" s="793">
        <f t="shared" si="2"/>
        <v>0.14190645536885135</v>
      </c>
      <c r="I8" s="600">
        <f t="shared" ref="I8:I74" si="4">F8-E8</f>
        <v>58531464</v>
      </c>
      <c r="J8" s="793">
        <f t="shared" ref="J8:J73" si="5">I8/E8</f>
        <v>0.11194298369485366</v>
      </c>
      <c r="K8" s="133"/>
    </row>
    <row r="9" spans="1:11" x14ac:dyDescent="0.2">
      <c r="A9" s="619" t="s">
        <v>57</v>
      </c>
      <c r="B9" s="600">
        <v>11100000</v>
      </c>
      <c r="C9" s="600">
        <v>-300000</v>
      </c>
      <c r="D9" s="600">
        <v>1900000</v>
      </c>
      <c r="E9" s="600">
        <f t="shared" si="3"/>
        <v>12700000</v>
      </c>
      <c r="F9" s="600">
        <v>11970000</v>
      </c>
      <c r="G9" s="600">
        <f t="shared" si="1"/>
        <v>870000</v>
      </c>
      <c r="H9" s="793">
        <f t="shared" si="2"/>
        <v>7.8378378378378383E-2</v>
      </c>
      <c r="I9" s="600">
        <f t="shared" si="4"/>
        <v>-730000</v>
      </c>
      <c r="J9" s="793">
        <f t="shared" si="5"/>
        <v>-5.748031496062992E-2</v>
      </c>
      <c r="K9" s="133"/>
    </row>
    <row r="10" spans="1:11" x14ac:dyDescent="0.2">
      <c r="A10" s="619" t="s">
        <v>58</v>
      </c>
      <c r="B10" s="600">
        <v>563100</v>
      </c>
      <c r="C10" s="600"/>
      <c r="D10" s="600"/>
      <c r="E10" s="600">
        <f t="shared" si="3"/>
        <v>563100</v>
      </c>
      <c r="F10" s="600">
        <v>493024</v>
      </c>
      <c r="G10" s="600">
        <f t="shared" si="1"/>
        <v>-70076</v>
      </c>
      <c r="H10" s="793">
        <f t="shared" si="2"/>
        <v>-0.12444681228911383</v>
      </c>
      <c r="I10" s="600">
        <f t="shared" si="4"/>
        <v>-70076</v>
      </c>
      <c r="J10" s="793">
        <f t="shared" si="5"/>
        <v>-0.12444681228911383</v>
      </c>
      <c r="K10" s="133"/>
    </row>
    <row r="11" spans="1:11" x14ac:dyDescent="0.2">
      <c r="A11" s="619" t="s">
        <v>59</v>
      </c>
      <c r="B11" s="600">
        <v>89650898</v>
      </c>
      <c r="C11" s="600">
        <v>-6118096</v>
      </c>
      <c r="D11" s="600">
        <v>-1044134</v>
      </c>
      <c r="E11" s="600">
        <f t="shared" si="3"/>
        <v>82488668</v>
      </c>
      <c r="F11" s="600">
        <v>90137039</v>
      </c>
      <c r="G11" s="600">
        <f t="shared" si="1"/>
        <v>486141</v>
      </c>
      <c r="H11" s="793">
        <f t="shared" si="2"/>
        <v>5.4226004518103102E-3</v>
      </c>
      <c r="I11" s="600">
        <f t="shared" si="4"/>
        <v>7648371</v>
      </c>
      <c r="J11" s="793">
        <f t="shared" si="5"/>
        <v>9.2720263103290748E-2</v>
      </c>
      <c r="K11" s="133"/>
    </row>
    <row r="12" spans="1:11" x14ac:dyDescent="0.2">
      <c r="A12" s="619" t="s">
        <v>60</v>
      </c>
      <c r="B12" s="600">
        <v>867000</v>
      </c>
      <c r="C12" s="600">
        <v>218613</v>
      </c>
      <c r="D12" s="600">
        <v>1025760</v>
      </c>
      <c r="E12" s="600">
        <f t="shared" si="3"/>
        <v>2111373</v>
      </c>
      <c r="F12" s="600">
        <v>846000</v>
      </c>
      <c r="G12" s="600">
        <f t="shared" si="1"/>
        <v>-21000</v>
      </c>
      <c r="H12" s="793">
        <f t="shared" si="2"/>
        <v>-2.4221453287197232E-2</v>
      </c>
      <c r="I12" s="600">
        <f t="shared" si="4"/>
        <v>-1265373</v>
      </c>
      <c r="J12" s="793">
        <f t="shared" si="5"/>
        <v>-0.59931286418837415</v>
      </c>
      <c r="K12" s="133"/>
    </row>
    <row r="13" spans="1:11" x14ac:dyDescent="0.2">
      <c r="A13" s="619" t="s">
        <v>61</v>
      </c>
      <c r="B13" s="600">
        <v>258000</v>
      </c>
      <c r="C13" s="600"/>
      <c r="D13" s="600"/>
      <c r="E13" s="600">
        <f t="shared" si="3"/>
        <v>258000</v>
      </c>
      <c r="F13" s="600">
        <v>297000</v>
      </c>
      <c r="G13" s="600">
        <f t="shared" si="1"/>
        <v>39000</v>
      </c>
      <c r="H13" s="793">
        <f t="shared" si="2"/>
        <v>0.15116279069767441</v>
      </c>
      <c r="I13" s="600">
        <f t="shared" si="4"/>
        <v>39000</v>
      </c>
      <c r="J13" s="793">
        <f t="shared" si="5"/>
        <v>0.15116279069767441</v>
      </c>
      <c r="K13" s="133"/>
    </row>
    <row r="14" spans="1:11" x14ac:dyDescent="0.2">
      <c r="A14" s="619" t="s">
        <v>62</v>
      </c>
      <c r="B14" s="600">
        <v>959100</v>
      </c>
      <c r="C14" s="600">
        <v>-24000</v>
      </c>
      <c r="D14" s="600"/>
      <c r="E14" s="600">
        <f t="shared" si="3"/>
        <v>935100</v>
      </c>
      <c r="F14" s="600">
        <v>650000</v>
      </c>
      <c r="G14" s="600">
        <f t="shared" si="1"/>
        <v>-309100</v>
      </c>
      <c r="H14" s="793">
        <f t="shared" si="2"/>
        <v>-0.32228130539047023</v>
      </c>
      <c r="I14" s="600">
        <f t="shared" si="4"/>
        <v>-285100</v>
      </c>
      <c r="J14" s="793">
        <f t="shared" si="5"/>
        <v>-0.30488717784194203</v>
      </c>
      <c r="K14" s="133"/>
    </row>
    <row r="15" spans="1:11" s="486" customFormat="1" x14ac:dyDescent="0.2">
      <c r="A15" s="619" t="s">
        <v>965</v>
      </c>
      <c r="B15" s="600"/>
      <c r="C15" s="600">
        <v>66585</v>
      </c>
      <c r="D15" s="600">
        <v>-6300</v>
      </c>
      <c r="E15" s="600">
        <f t="shared" si="3"/>
        <v>60285</v>
      </c>
      <c r="F15" s="600">
        <v>57600</v>
      </c>
      <c r="G15" s="600">
        <f t="shared" si="1"/>
        <v>57600</v>
      </c>
      <c r="H15" s="793"/>
      <c r="I15" s="600">
        <f t="shared" si="4"/>
        <v>-2685</v>
      </c>
      <c r="J15" s="793">
        <f t="shared" si="5"/>
        <v>-4.4538442398606617E-2</v>
      </c>
      <c r="K15" s="133"/>
    </row>
    <row r="16" spans="1:11" x14ac:dyDescent="0.2">
      <c r="A16" s="619" t="s">
        <v>63</v>
      </c>
      <c r="B16" s="600">
        <v>-214573</v>
      </c>
      <c r="C16" s="600"/>
      <c r="D16" s="600"/>
      <c r="E16" s="600">
        <f t="shared" si="3"/>
        <v>-214573</v>
      </c>
      <c r="F16" s="600">
        <v>-220000</v>
      </c>
      <c r="G16" s="600">
        <f t="shared" si="1"/>
        <v>-5427</v>
      </c>
      <c r="H16" s="793">
        <f t="shared" ref="H16:H22" si="6">G16/B16</f>
        <v>2.52920917356797E-2</v>
      </c>
      <c r="I16" s="600">
        <f t="shared" si="4"/>
        <v>-5427</v>
      </c>
      <c r="J16" s="793">
        <f t="shared" si="5"/>
        <v>2.52920917356797E-2</v>
      </c>
      <c r="K16" s="133"/>
    </row>
    <row r="17" spans="1:11" x14ac:dyDescent="0.2">
      <c r="A17" s="619" t="s">
        <v>64</v>
      </c>
      <c r="B17" s="600">
        <v>-10000</v>
      </c>
      <c r="C17" s="600"/>
      <c r="D17" s="600"/>
      <c r="E17" s="600">
        <f t="shared" si="3"/>
        <v>-10000</v>
      </c>
      <c r="F17" s="600">
        <v>-10000</v>
      </c>
      <c r="G17" s="600">
        <f t="shared" si="1"/>
        <v>0</v>
      </c>
      <c r="H17" s="793">
        <f t="shared" si="6"/>
        <v>0</v>
      </c>
      <c r="I17" s="600">
        <f t="shared" si="4"/>
        <v>0</v>
      </c>
      <c r="J17" s="793">
        <f t="shared" si="5"/>
        <v>0</v>
      </c>
      <c r="K17" s="133"/>
    </row>
    <row r="18" spans="1:11" x14ac:dyDescent="0.2">
      <c r="A18" s="619" t="s">
        <v>65</v>
      </c>
      <c r="B18" s="600">
        <v>511500</v>
      </c>
      <c r="C18" s="600">
        <v>-45267</v>
      </c>
      <c r="D18" s="600">
        <v>3373</v>
      </c>
      <c r="E18" s="600">
        <f t="shared" si="3"/>
        <v>469606</v>
      </c>
      <c r="F18" s="600">
        <v>467000</v>
      </c>
      <c r="G18" s="600">
        <f t="shared" si="1"/>
        <v>-44500</v>
      </c>
      <c r="H18" s="793">
        <f t="shared" si="6"/>
        <v>-8.6999022482893457E-2</v>
      </c>
      <c r="I18" s="600">
        <f t="shared" si="4"/>
        <v>-2606</v>
      </c>
      <c r="J18" s="793">
        <f t="shared" si="5"/>
        <v>-5.5493328449806858E-3</v>
      </c>
      <c r="K18" s="133"/>
    </row>
    <row r="19" spans="1:11" x14ac:dyDescent="0.2">
      <c r="A19" s="619" t="s">
        <v>66</v>
      </c>
      <c r="B19" s="600">
        <v>7800000</v>
      </c>
      <c r="C19" s="600">
        <v>2157463</v>
      </c>
      <c r="D19" s="600"/>
      <c r="E19" s="600">
        <f t="shared" si="3"/>
        <v>9957463</v>
      </c>
      <c r="F19" s="600">
        <v>8600000</v>
      </c>
      <c r="G19" s="600">
        <f t="shared" si="1"/>
        <v>800000</v>
      </c>
      <c r="H19" s="793">
        <f t="shared" si="6"/>
        <v>0.10256410256410256</v>
      </c>
      <c r="I19" s="600">
        <f t="shared" si="4"/>
        <v>-1357463</v>
      </c>
      <c r="J19" s="793">
        <f t="shared" si="5"/>
        <v>-0.13632619071745483</v>
      </c>
      <c r="K19" s="133"/>
    </row>
    <row r="20" spans="1:11" x14ac:dyDescent="0.2">
      <c r="A20" s="620" t="s">
        <v>67</v>
      </c>
      <c r="B20" s="600">
        <v>132280785</v>
      </c>
      <c r="C20" s="600">
        <v>16718129</v>
      </c>
      <c r="D20" s="600">
        <v>-140699</v>
      </c>
      <c r="E20" s="600">
        <f t="shared" si="3"/>
        <v>148858215</v>
      </c>
      <c r="F20" s="600">
        <v>149860731</v>
      </c>
      <c r="G20" s="600">
        <f t="shared" si="1"/>
        <v>17579946</v>
      </c>
      <c r="H20" s="793">
        <f t="shared" si="6"/>
        <v>0.13289871238668563</v>
      </c>
      <c r="I20" s="600">
        <f t="shared" si="4"/>
        <v>1002516</v>
      </c>
      <c r="J20" s="793">
        <f t="shared" si="5"/>
        <v>6.734703892559776E-3</v>
      </c>
      <c r="K20" s="133"/>
    </row>
    <row r="21" spans="1:11" x14ac:dyDescent="0.2">
      <c r="A21" s="619" t="s">
        <v>68</v>
      </c>
      <c r="B21" s="600">
        <v>12175903</v>
      </c>
      <c r="C21" s="600">
        <v>-1402186</v>
      </c>
      <c r="D21" s="600">
        <v>-1376289</v>
      </c>
      <c r="E21" s="600">
        <f t="shared" si="3"/>
        <v>9397428</v>
      </c>
      <c r="F21" s="600">
        <v>23913124</v>
      </c>
      <c r="G21" s="600">
        <f t="shared" si="1"/>
        <v>11737221</v>
      </c>
      <c r="H21" s="793">
        <f t="shared" si="6"/>
        <v>0.96397129642047907</v>
      </c>
      <c r="I21" s="600">
        <f t="shared" si="4"/>
        <v>14515696</v>
      </c>
      <c r="J21" s="793">
        <f t="shared" si="5"/>
        <v>1.5446456200568921</v>
      </c>
      <c r="K21" s="133"/>
    </row>
    <row r="22" spans="1:11" s="56" customFormat="1" x14ac:dyDescent="0.2">
      <c r="A22" s="619" t="s">
        <v>645</v>
      </c>
      <c r="B22" s="600">
        <v>147334</v>
      </c>
      <c r="C22" s="600"/>
      <c r="D22" s="600"/>
      <c r="E22" s="600">
        <f t="shared" si="3"/>
        <v>147334</v>
      </c>
      <c r="F22" s="600">
        <v>9223</v>
      </c>
      <c r="G22" s="600">
        <f t="shared" si="1"/>
        <v>-138111</v>
      </c>
      <c r="H22" s="793">
        <f t="shared" si="6"/>
        <v>-0.9374007357432772</v>
      </c>
      <c r="I22" s="600">
        <f t="shared" si="4"/>
        <v>-138111</v>
      </c>
      <c r="J22" s="793">
        <f t="shared" si="5"/>
        <v>-0.9374007357432772</v>
      </c>
      <c r="K22" s="133"/>
    </row>
    <row r="23" spans="1:11" s="486" customFormat="1" x14ac:dyDescent="0.2">
      <c r="A23" s="619" t="s">
        <v>1068</v>
      </c>
      <c r="B23" s="600"/>
      <c r="C23" s="600"/>
      <c r="D23" s="600"/>
      <c r="E23" s="600"/>
      <c r="F23" s="600">
        <v>49800</v>
      </c>
      <c r="G23" s="600">
        <f t="shared" si="1"/>
        <v>49800</v>
      </c>
      <c r="H23" s="793"/>
      <c r="I23" s="600"/>
      <c r="J23" s="635"/>
      <c r="K23" s="133"/>
    </row>
    <row r="24" spans="1:11" ht="14.25" customHeight="1" x14ac:dyDescent="0.2">
      <c r="A24" s="17"/>
      <c r="B24" s="46"/>
      <c r="C24" s="46"/>
      <c r="D24" s="46"/>
      <c r="E24" s="46">
        <f t="shared" si="3"/>
        <v>0</v>
      </c>
      <c r="F24" s="46"/>
      <c r="G24" s="46">
        <f t="shared" si="1"/>
        <v>0</v>
      </c>
      <c r="H24" s="636"/>
      <c r="I24" s="46">
        <f t="shared" si="4"/>
        <v>0</v>
      </c>
      <c r="J24" s="636"/>
      <c r="K24" s="133"/>
    </row>
    <row r="25" spans="1:11" ht="12" customHeight="1" x14ac:dyDescent="0.2">
      <c r="A25" s="617" t="s">
        <v>527</v>
      </c>
      <c r="B25" s="618">
        <f>B26+B32</f>
        <v>712117836</v>
      </c>
      <c r="C25" s="618">
        <f t="shared" ref="C25:F25" si="7">C26+C32</f>
        <v>18550217</v>
      </c>
      <c r="D25" s="618">
        <f t="shared" ref="D25" si="8">D26+D32</f>
        <v>3143713.8</v>
      </c>
      <c r="E25" s="618">
        <f t="shared" si="3"/>
        <v>733811766.79999995</v>
      </c>
      <c r="F25" s="618">
        <f t="shared" si="7"/>
        <v>835080003</v>
      </c>
      <c r="G25" s="618">
        <f t="shared" si="1"/>
        <v>122962167</v>
      </c>
      <c r="H25" s="634">
        <f>G25/B25</f>
        <v>0.17267109568647288</v>
      </c>
      <c r="I25" s="618">
        <f t="shared" si="4"/>
        <v>101268236.20000005</v>
      </c>
      <c r="J25" s="634">
        <f t="shared" si="5"/>
        <v>0.13800301491704023</v>
      </c>
    </row>
    <row r="26" spans="1:11" x14ac:dyDescent="0.2">
      <c r="A26" s="619" t="s">
        <v>69</v>
      </c>
      <c r="B26" s="600">
        <f>SUM(B27:B31)</f>
        <v>675719760</v>
      </c>
      <c r="C26" s="600">
        <f t="shared" ref="C26:F26" si="9">SUM(C27:C31)</f>
        <v>18991103</v>
      </c>
      <c r="D26" s="600">
        <f t="shared" ref="D26" si="10">SUM(D27:D31)</f>
        <v>9485796</v>
      </c>
      <c r="E26" s="600">
        <f t="shared" si="3"/>
        <v>704196659</v>
      </c>
      <c r="F26" s="600">
        <f t="shared" si="9"/>
        <v>746685426</v>
      </c>
      <c r="G26" s="600">
        <f t="shared" si="1"/>
        <v>70965666</v>
      </c>
      <c r="H26" s="793">
        <f>G26/B26</f>
        <v>0.10502233351885402</v>
      </c>
      <c r="I26" s="600">
        <f t="shared" si="4"/>
        <v>42488767</v>
      </c>
      <c r="J26" s="793">
        <f t="shared" si="5"/>
        <v>6.0336507503935773E-2</v>
      </c>
    </row>
    <row r="27" spans="1:11" ht="25.5" x14ac:dyDescent="0.2">
      <c r="A27" s="621" t="s">
        <v>70</v>
      </c>
      <c r="B27" s="600">
        <v>126920774</v>
      </c>
      <c r="C27" s="600">
        <v>2806304</v>
      </c>
      <c r="D27" s="600">
        <v>594501</v>
      </c>
      <c r="E27" s="600">
        <f t="shared" si="3"/>
        <v>130321579</v>
      </c>
      <c r="F27" s="600">
        <v>138017878</v>
      </c>
      <c r="G27" s="600">
        <f t="shared" si="1"/>
        <v>11097104</v>
      </c>
      <c r="H27" s="635">
        <f>G27/B27</f>
        <v>8.743331489610992E-2</v>
      </c>
      <c r="I27" s="600">
        <f t="shared" si="4"/>
        <v>7696299</v>
      </c>
      <c r="J27" s="635">
        <f t="shared" si="5"/>
        <v>5.9056213553090854E-2</v>
      </c>
    </row>
    <row r="28" spans="1:11" x14ac:dyDescent="0.2">
      <c r="A28" s="622" t="s">
        <v>71</v>
      </c>
      <c r="B28" s="600">
        <v>7494963</v>
      </c>
      <c r="C28" s="600">
        <v>-1095709</v>
      </c>
      <c r="D28" s="600"/>
      <c r="E28" s="600">
        <f t="shared" si="3"/>
        <v>6399254</v>
      </c>
      <c r="F28" s="600">
        <v>4287923</v>
      </c>
      <c r="G28" s="600">
        <f t="shared" si="1"/>
        <v>-3207040</v>
      </c>
      <c r="H28" s="635">
        <f>G28/B28</f>
        <v>-0.42789270607473312</v>
      </c>
      <c r="I28" s="600">
        <f t="shared" si="4"/>
        <v>-2111331</v>
      </c>
      <c r="J28" s="635">
        <f t="shared" si="5"/>
        <v>-0.32993392667332788</v>
      </c>
    </row>
    <row r="29" spans="1:11" s="56" customFormat="1" x14ac:dyDescent="0.2">
      <c r="A29" s="622" t="s">
        <v>761</v>
      </c>
      <c r="B29" s="600">
        <v>147334</v>
      </c>
      <c r="C29" s="600"/>
      <c r="D29" s="600"/>
      <c r="E29" s="600">
        <f t="shared" si="3"/>
        <v>147334</v>
      </c>
      <c r="F29" s="600">
        <v>9223</v>
      </c>
      <c r="G29" s="600">
        <f t="shared" si="1"/>
        <v>-138111</v>
      </c>
      <c r="H29" s="635">
        <f>G29/B29</f>
        <v>-0.9374007357432772</v>
      </c>
      <c r="I29" s="600">
        <f t="shared" si="4"/>
        <v>-138111</v>
      </c>
      <c r="J29" s="635">
        <f t="shared" si="5"/>
        <v>-0.9374007357432772</v>
      </c>
    </row>
    <row r="30" spans="1:11" s="486" customFormat="1" x14ac:dyDescent="0.2">
      <c r="A30" s="622" t="s">
        <v>1069</v>
      </c>
      <c r="B30" s="600"/>
      <c r="C30" s="600"/>
      <c r="D30" s="600"/>
      <c r="E30" s="600"/>
      <c r="F30" s="600">
        <v>49800</v>
      </c>
      <c r="G30" s="600">
        <f t="shared" si="1"/>
        <v>49800</v>
      </c>
      <c r="H30" s="635"/>
      <c r="I30" s="600"/>
      <c r="J30" s="635"/>
    </row>
    <row r="31" spans="1:11" x14ac:dyDescent="0.2">
      <c r="A31" s="622" t="s">
        <v>72</v>
      </c>
      <c r="B31" s="600">
        <v>541156689</v>
      </c>
      <c r="C31" s="600">
        <v>17280508</v>
      </c>
      <c r="D31" s="600">
        <v>8891295</v>
      </c>
      <c r="E31" s="600">
        <f t="shared" si="3"/>
        <v>567328492</v>
      </c>
      <c r="F31" s="600">
        <v>604320602</v>
      </c>
      <c r="G31" s="600">
        <f t="shared" si="1"/>
        <v>63163913</v>
      </c>
      <c r="H31" s="635">
        <f>G31/B31</f>
        <v>0.11672019266124234</v>
      </c>
      <c r="I31" s="600">
        <f t="shared" si="4"/>
        <v>36992110</v>
      </c>
      <c r="J31" s="635">
        <f t="shared" si="5"/>
        <v>6.5204040554339024E-2</v>
      </c>
    </row>
    <row r="32" spans="1:11" x14ac:dyDescent="0.2">
      <c r="A32" s="619" t="s">
        <v>73</v>
      </c>
      <c r="B32" s="600">
        <v>36398076</v>
      </c>
      <c r="C32" s="600">
        <v>-440886</v>
      </c>
      <c r="D32" s="600">
        <v>-6342082.2000000002</v>
      </c>
      <c r="E32" s="600">
        <f t="shared" si="3"/>
        <v>29615107.800000001</v>
      </c>
      <c r="F32" s="600">
        <v>88394577</v>
      </c>
      <c r="G32" s="600">
        <f t="shared" si="1"/>
        <v>51996501</v>
      </c>
      <c r="H32" s="635">
        <f>G32/B32</f>
        <v>1.4285508113121144</v>
      </c>
      <c r="I32" s="600">
        <f t="shared" si="4"/>
        <v>58779469.200000003</v>
      </c>
      <c r="J32" s="635">
        <f t="shared" si="5"/>
        <v>1.9847798494253666</v>
      </c>
    </row>
    <row r="33" spans="1:10" x14ac:dyDescent="0.2">
      <c r="A33" s="619"/>
      <c r="B33" s="46"/>
      <c r="C33" s="46"/>
      <c r="D33" s="46"/>
      <c r="E33" s="46">
        <f t="shared" si="3"/>
        <v>0</v>
      </c>
      <c r="F33" s="600"/>
      <c r="G33" s="46">
        <f t="shared" si="1"/>
        <v>0</v>
      </c>
      <c r="H33" s="636"/>
      <c r="I33" s="46">
        <f t="shared" si="4"/>
        <v>0</v>
      </c>
      <c r="J33" s="636"/>
    </row>
    <row r="34" spans="1:10" x14ac:dyDescent="0.2">
      <c r="A34" s="623" t="s">
        <v>74</v>
      </c>
      <c r="B34" s="624">
        <f>B7-B25</f>
        <v>53119747</v>
      </c>
      <c r="C34" s="624">
        <f>C7-C25</f>
        <v>2721024</v>
      </c>
      <c r="D34" s="624">
        <f>D7-D25</f>
        <v>937997.20000000019</v>
      </c>
      <c r="E34" s="624">
        <f t="shared" si="3"/>
        <v>56778768.200000003</v>
      </c>
      <c r="F34" s="624">
        <f>F7-F25</f>
        <v>33440538</v>
      </c>
      <c r="G34" s="624">
        <f t="shared" si="1"/>
        <v>-19679209</v>
      </c>
      <c r="H34" s="637">
        <f>G34/B34</f>
        <v>-0.37046880136684385</v>
      </c>
      <c r="I34" s="624">
        <f t="shared" si="4"/>
        <v>-23338230.200000003</v>
      </c>
      <c r="J34" s="637">
        <f t="shared" si="5"/>
        <v>-0.41103798021458315</v>
      </c>
    </row>
    <row r="35" spans="1:10" x14ac:dyDescent="0.2">
      <c r="A35" s="625"/>
      <c r="B35" s="40"/>
      <c r="C35" s="40"/>
      <c r="D35" s="40"/>
      <c r="E35" s="40">
        <f t="shared" si="3"/>
        <v>0</v>
      </c>
      <c r="F35" s="40"/>
      <c r="G35" s="40">
        <f t="shared" si="1"/>
        <v>0</v>
      </c>
      <c r="H35" s="638"/>
      <c r="I35" s="40">
        <f t="shared" si="4"/>
        <v>0</v>
      </c>
      <c r="J35" s="638"/>
    </row>
    <row r="36" spans="1:10" x14ac:dyDescent="0.2">
      <c r="A36" s="619" t="s">
        <v>75</v>
      </c>
      <c r="B36" s="600">
        <v>42222054</v>
      </c>
      <c r="C36" s="600">
        <v>2020740</v>
      </c>
      <c r="D36" s="600">
        <v>897609</v>
      </c>
      <c r="E36" s="600">
        <f t="shared" si="3"/>
        <v>45140403</v>
      </c>
      <c r="F36" s="600">
        <v>45936610</v>
      </c>
      <c r="G36" s="600">
        <f t="shared" si="1"/>
        <v>3714556</v>
      </c>
      <c r="H36" s="635">
        <f>G36/B36</f>
        <v>8.7976676833391387E-2</v>
      </c>
      <c r="I36" s="600">
        <f t="shared" si="4"/>
        <v>796207</v>
      </c>
      <c r="J36" s="635">
        <f t="shared" si="5"/>
        <v>1.7638455731110773E-2</v>
      </c>
    </row>
    <row r="37" spans="1:10" x14ac:dyDescent="0.2">
      <c r="A37" s="17"/>
      <c r="B37" s="46"/>
      <c r="C37" s="46"/>
      <c r="D37" s="46"/>
      <c r="E37" s="46">
        <f t="shared" si="3"/>
        <v>0</v>
      </c>
      <c r="F37" s="46"/>
      <c r="G37" s="46">
        <f t="shared" si="1"/>
        <v>0</v>
      </c>
      <c r="H37" s="636"/>
      <c r="I37" s="46">
        <f t="shared" si="4"/>
        <v>0</v>
      </c>
      <c r="J37" s="636"/>
    </row>
    <row r="38" spans="1:10" x14ac:dyDescent="0.2">
      <c r="A38" s="623" t="s">
        <v>76</v>
      </c>
      <c r="B38" s="624">
        <f>+B34-B36</f>
        <v>10897693</v>
      </c>
      <c r="C38" s="624">
        <f>+C34-C36</f>
        <v>700284</v>
      </c>
      <c r="D38" s="624">
        <f>+D34-D36</f>
        <v>40388.200000000186</v>
      </c>
      <c r="E38" s="624">
        <f t="shared" si="3"/>
        <v>11638365.199999999</v>
      </c>
      <c r="F38" s="624">
        <f>+F34-F36</f>
        <v>-12496072</v>
      </c>
      <c r="G38" s="624">
        <f t="shared" si="1"/>
        <v>-23393765</v>
      </c>
      <c r="H38" s="637">
        <f>G38/B38</f>
        <v>-2.1466713184157418</v>
      </c>
      <c r="I38" s="624">
        <f t="shared" si="4"/>
        <v>-24134437.199999999</v>
      </c>
      <c r="J38" s="637">
        <f t="shared" si="5"/>
        <v>-2.0736965016358142</v>
      </c>
    </row>
    <row r="39" spans="1:10" ht="16.5" thickBot="1" x14ac:dyDescent="0.3">
      <c r="A39" s="626"/>
      <c r="B39" s="627"/>
      <c r="C39" s="627"/>
      <c r="D39" s="627"/>
      <c r="E39" s="627">
        <f t="shared" si="3"/>
        <v>0</v>
      </c>
      <c r="F39" s="627"/>
      <c r="G39" s="627">
        <f t="shared" ref="G39:G70" si="11">F39-B39</f>
        <v>0</v>
      </c>
      <c r="H39" s="639"/>
      <c r="I39" s="627">
        <f t="shared" si="4"/>
        <v>0</v>
      </c>
      <c r="J39" s="639"/>
    </row>
    <row r="40" spans="1:10" ht="16.5" thickTop="1" x14ac:dyDescent="0.25">
      <c r="A40" s="628"/>
      <c r="B40" s="629"/>
      <c r="C40" s="629"/>
      <c r="D40" s="629"/>
      <c r="E40" s="629">
        <f t="shared" si="3"/>
        <v>0</v>
      </c>
      <c r="F40" s="629"/>
      <c r="G40" s="629">
        <f t="shared" si="11"/>
        <v>0</v>
      </c>
      <c r="H40" s="640"/>
      <c r="I40" s="629">
        <f t="shared" si="4"/>
        <v>0</v>
      </c>
      <c r="J40" s="640"/>
    </row>
    <row r="41" spans="1:10" ht="15.75" x14ac:dyDescent="0.25">
      <c r="A41" s="623" t="s">
        <v>77</v>
      </c>
      <c r="B41" s="629"/>
      <c r="C41" s="629"/>
      <c r="D41" s="629"/>
      <c r="E41" s="629">
        <f t="shared" si="3"/>
        <v>0</v>
      </c>
      <c r="F41" s="629"/>
      <c r="G41" s="629">
        <f t="shared" si="11"/>
        <v>0</v>
      </c>
      <c r="H41" s="640"/>
      <c r="I41" s="629">
        <f t="shared" si="4"/>
        <v>0</v>
      </c>
      <c r="J41" s="640"/>
    </row>
    <row r="42" spans="1:10" s="56" customFormat="1" ht="15.75" x14ac:dyDescent="0.25">
      <c r="A42" s="623"/>
      <c r="B42" s="629"/>
      <c r="C42" s="629"/>
      <c r="D42" s="629"/>
      <c r="E42" s="629">
        <f t="shared" si="3"/>
        <v>0</v>
      </c>
      <c r="F42" s="629"/>
      <c r="G42" s="629">
        <f t="shared" si="11"/>
        <v>0</v>
      </c>
      <c r="H42" s="640"/>
      <c r="I42" s="629">
        <f t="shared" si="4"/>
        <v>0</v>
      </c>
      <c r="J42" s="640"/>
    </row>
    <row r="43" spans="1:10" s="56" customFormat="1" x14ac:dyDescent="0.2">
      <c r="A43" s="630" t="s">
        <v>160</v>
      </c>
      <c r="B43" s="600">
        <v>0</v>
      </c>
      <c r="C43" s="600"/>
      <c r="D43" s="600"/>
      <c r="E43" s="600">
        <f t="shared" si="3"/>
        <v>0</v>
      </c>
      <c r="F43" s="600"/>
      <c r="G43" s="600">
        <f t="shared" si="11"/>
        <v>0</v>
      </c>
      <c r="H43" s="635"/>
      <c r="I43" s="600">
        <f t="shared" si="4"/>
        <v>0</v>
      </c>
      <c r="J43" s="635"/>
    </row>
    <row r="44" spans="1:10" x14ac:dyDescent="0.2">
      <c r="A44" s="619"/>
      <c r="B44" s="600"/>
      <c r="C44" s="600"/>
      <c r="D44" s="600"/>
      <c r="E44" s="600">
        <f t="shared" si="3"/>
        <v>0</v>
      </c>
      <c r="F44" s="600"/>
      <c r="G44" s="600">
        <f t="shared" si="11"/>
        <v>0</v>
      </c>
      <c r="H44" s="635"/>
      <c r="I44" s="600">
        <f t="shared" si="4"/>
        <v>0</v>
      </c>
      <c r="J44" s="635"/>
    </row>
    <row r="45" spans="1:10" x14ac:dyDescent="0.2">
      <c r="A45" s="631" t="s">
        <v>78</v>
      </c>
      <c r="B45" s="600"/>
      <c r="C45" s="600"/>
      <c r="D45" s="600"/>
      <c r="E45" s="600">
        <f t="shared" si="3"/>
        <v>0</v>
      </c>
      <c r="F45" s="600"/>
      <c r="G45" s="600">
        <f t="shared" si="11"/>
        <v>0</v>
      </c>
      <c r="H45" s="635"/>
      <c r="I45" s="600">
        <f t="shared" si="4"/>
        <v>0</v>
      </c>
      <c r="J45" s="635"/>
    </row>
    <row r="46" spans="1:10" x14ac:dyDescent="0.2">
      <c r="A46" s="121" t="s">
        <v>79</v>
      </c>
      <c r="B46" s="600">
        <v>129572966</v>
      </c>
      <c r="C46" s="600">
        <v>-3678028</v>
      </c>
      <c r="D46" s="600">
        <v>-15850348.800000001</v>
      </c>
      <c r="E46" s="600">
        <f t="shared" si="3"/>
        <v>110044589.2</v>
      </c>
      <c r="F46" s="600">
        <v>180652104</v>
      </c>
      <c r="G46" s="600">
        <f t="shared" si="11"/>
        <v>51079138</v>
      </c>
      <c r="H46" s="635">
        <f>G46/B46</f>
        <v>0.3942113820254759</v>
      </c>
      <c r="I46" s="600">
        <f t="shared" si="4"/>
        <v>70607514.799999997</v>
      </c>
      <c r="J46" s="635">
        <f t="shared" si="5"/>
        <v>0.64162641083310978</v>
      </c>
    </row>
    <row r="47" spans="1:10" x14ac:dyDescent="0.2">
      <c r="A47" s="121" t="s">
        <v>75</v>
      </c>
      <c r="B47" s="600">
        <f>-B36</f>
        <v>-42222054</v>
      </c>
      <c r="C47" s="600">
        <f>-C36</f>
        <v>-2020740</v>
      </c>
      <c r="D47" s="600">
        <v>-897609</v>
      </c>
      <c r="E47" s="600">
        <f t="shared" si="3"/>
        <v>-45140403</v>
      </c>
      <c r="F47" s="600">
        <v>-45936610</v>
      </c>
      <c r="G47" s="600">
        <f t="shared" si="11"/>
        <v>-3714556</v>
      </c>
      <c r="H47" s="635">
        <f>G47/B47</f>
        <v>8.7976676833391387E-2</v>
      </c>
      <c r="I47" s="600">
        <f t="shared" si="4"/>
        <v>-796207</v>
      </c>
      <c r="J47" s="635">
        <f t="shared" si="5"/>
        <v>1.7638455731110773E-2</v>
      </c>
    </row>
    <row r="48" spans="1:10" x14ac:dyDescent="0.2">
      <c r="A48" s="121" t="s">
        <v>80</v>
      </c>
      <c r="B48" s="600">
        <f>B16</f>
        <v>-214573</v>
      </c>
      <c r="C48" s="600">
        <f>C16</f>
        <v>0</v>
      </c>
      <c r="D48" s="600"/>
      <c r="E48" s="600">
        <f t="shared" si="3"/>
        <v>-214573</v>
      </c>
      <c r="F48" s="600">
        <v>-220000</v>
      </c>
      <c r="G48" s="600">
        <f t="shared" si="11"/>
        <v>-5427</v>
      </c>
      <c r="H48" s="635">
        <f>G48/B48</f>
        <v>2.52920917356797E-2</v>
      </c>
      <c r="I48" s="600">
        <f t="shared" si="4"/>
        <v>-5427</v>
      </c>
      <c r="J48" s="635">
        <f t="shared" si="5"/>
        <v>2.52920917356797E-2</v>
      </c>
    </row>
    <row r="49" spans="1:10" ht="15.75" customHeight="1" x14ac:dyDescent="0.2">
      <c r="A49" s="632" t="s">
        <v>81</v>
      </c>
      <c r="B49" s="618">
        <f>B46+B47+B48</f>
        <v>87136339</v>
      </c>
      <c r="C49" s="618">
        <f>C46+C47+C48</f>
        <v>-5698768</v>
      </c>
      <c r="D49" s="618">
        <f>D46+D47+D48</f>
        <v>-16747957.800000001</v>
      </c>
      <c r="E49" s="618">
        <f t="shared" si="3"/>
        <v>64689613.200000003</v>
      </c>
      <c r="F49" s="618">
        <f>F46+F47+F48</f>
        <v>134495494</v>
      </c>
      <c r="G49" s="618">
        <f t="shared" si="11"/>
        <v>47359155</v>
      </c>
      <c r="H49" s="634">
        <f>G49/B49</f>
        <v>0.5435063664999743</v>
      </c>
      <c r="I49" s="618">
        <f t="shared" si="4"/>
        <v>69805880.799999997</v>
      </c>
      <c r="J49" s="634">
        <f t="shared" si="5"/>
        <v>1.0790894758356662</v>
      </c>
    </row>
    <row r="50" spans="1:10" s="56" customFormat="1" ht="15.75" customHeight="1" x14ac:dyDescent="0.2">
      <c r="A50" s="632"/>
      <c r="B50" s="618"/>
      <c r="C50" s="618"/>
      <c r="D50" s="618"/>
      <c r="E50" s="618">
        <f t="shared" si="3"/>
        <v>0</v>
      </c>
      <c r="F50" s="618"/>
      <c r="G50" s="618">
        <f t="shared" si="11"/>
        <v>0</v>
      </c>
      <c r="H50" s="634"/>
      <c r="I50" s="618">
        <f t="shared" si="4"/>
        <v>0</v>
      </c>
      <c r="J50" s="634"/>
    </row>
    <row r="51" spans="1:10" s="56" customFormat="1" ht="15.75" customHeight="1" x14ac:dyDescent="0.2">
      <c r="A51" s="631" t="s">
        <v>573</v>
      </c>
      <c r="B51" s="618"/>
      <c r="C51" s="618"/>
      <c r="D51" s="618"/>
      <c r="E51" s="618">
        <f t="shared" si="3"/>
        <v>0</v>
      </c>
      <c r="F51" s="618"/>
      <c r="G51" s="618">
        <f t="shared" si="11"/>
        <v>0</v>
      </c>
      <c r="H51" s="634"/>
      <c r="I51" s="618">
        <f t="shared" si="4"/>
        <v>0</v>
      </c>
      <c r="J51" s="634"/>
    </row>
    <row r="52" spans="1:10" s="56" customFormat="1" ht="15.75" customHeight="1" x14ac:dyDescent="0.2">
      <c r="A52" s="121" t="s">
        <v>574</v>
      </c>
      <c r="B52" s="600">
        <v>-22327232</v>
      </c>
      <c r="C52" s="600">
        <v>-85002347</v>
      </c>
      <c r="D52" s="600">
        <v>17162703</v>
      </c>
      <c r="E52" s="600">
        <f t="shared" si="3"/>
        <v>-90166876</v>
      </c>
      <c r="F52" s="600">
        <v>-66760384</v>
      </c>
      <c r="G52" s="600">
        <f t="shared" si="11"/>
        <v>-44433152</v>
      </c>
      <c r="H52" s="635">
        <f>G52/B52</f>
        <v>1.9900877995086896</v>
      </c>
      <c r="I52" s="600">
        <f t="shared" si="4"/>
        <v>23406492</v>
      </c>
      <c r="J52" s="635">
        <f t="shared" si="5"/>
        <v>-0.25959080582984823</v>
      </c>
    </row>
    <row r="53" spans="1:10" s="486" customFormat="1" ht="15.75" customHeight="1" x14ac:dyDescent="0.2">
      <c r="A53" s="631" t="s">
        <v>967</v>
      </c>
      <c r="B53" s="600"/>
      <c r="C53" s="600"/>
      <c r="D53" s="600"/>
      <c r="E53" s="600">
        <f t="shared" si="3"/>
        <v>0</v>
      </c>
      <c r="F53" s="600"/>
      <c r="G53" s="600">
        <f t="shared" si="11"/>
        <v>0</v>
      </c>
      <c r="H53" s="635"/>
      <c r="I53" s="600">
        <f t="shared" si="4"/>
        <v>0</v>
      </c>
      <c r="J53" s="635"/>
    </row>
    <row r="54" spans="1:10" s="486" customFormat="1" ht="15.75" customHeight="1" x14ac:dyDescent="0.2">
      <c r="A54" s="121" t="s">
        <v>968</v>
      </c>
      <c r="B54" s="600"/>
      <c r="C54" s="600">
        <v>57827399</v>
      </c>
      <c r="D54" s="600">
        <v>693225</v>
      </c>
      <c r="E54" s="600">
        <f t="shared" si="3"/>
        <v>58520624</v>
      </c>
      <c r="F54" s="600"/>
      <c r="G54" s="600">
        <f t="shared" si="11"/>
        <v>0</v>
      </c>
      <c r="H54" s="635"/>
      <c r="I54" s="600">
        <f t="shared" si="4"/>
        <v>-58520624</v>
      </c>
      <c r="J54" s="635">
        <f t="shared" si="5"/>
        <v>-1</v>
      </c>
    </row>
    <row r="55" spans="1:10" s="486" customFormat="1" ht="15.75" customHeight="1" x14ac:dyDescent="0.2">
      <c r="A55" s="121" t="s">
        <v>1067</v>
      </c>
      <c r="B55" s="600"/>
      <c r="C55" s="600"/>
      <c r="D55" s="600">
        <v>-50633</v>
      </c>
      <c r="E55" s="600">
        <f t="shared" si="3"/>
        <v>-50633</v>
      </c>
      <c r="F55" s="600"/>
      <c r="G55" s="600">
        <f t="shared" si="11"/>
        <v>0</v>
      </c>
      <c r="H55" s="635"/>
      <c r="I55" s="600"/>
      <c r="J55" s="635"/>
    </row>
    <row r="56" spans="1:10" s="56" customFormat="1" x14ac:dyDescent="0.2">
      <c r="A56" s="632" t="s">
        <v>575</v>
      </c>
      <c r="B56" s="618">
        <f>B52</f>
        <v>-22327232</v>
      </c>
      <c r="C56" s="618">
        <f>C52+C54</f>
        <v>-27174948</v>
      </c>
      <c r="D56" s="618">
        <f>D54+D55</f>
        <v>642592</v>
      </c>
      <c r="E56" s="618">
        <f t="shared" si="3"/>
        <v>-48859588</v>
      </c>
      <c r="F56" s="618">
        <f>F52+F54</f>
        <v>-66760384</v>
      </c>
      <c r="G56" s="618">
        <f t="shared" si="11"/>
        <v>-44433152</v>
      </c>
      <c r="H56" s="634">
        <f>G56/B56</f>
        <v>1.9900877995086896</v>
      </c>
      <c r="I56" s="618">
        <f t="shared" si="4"/>
        <v>-17900796</v>
      </c>
      <c r="J56" s="634">
        <f t="shared" si="5"/>
        <v>0.36637222565200511</v>
      </c>
    </row>
    <row r="57" spans="1:10" s="56" customFormat="1" x14ac:dyDescent="0.2">
      <c r="A57" s="632"/>
      <c r="B57" s="618"/>
      <c r="C57" s="618"/>
      <c r="D57" s="618"/>
      <c r="E57" s="618">
        <f t="shared" si="3"/>
        <v>0</v>
      </c>
      <c r="F57" s="618"/>
      <c r="G57" s="618">
        <f t="shared" si="11"/>
        <v>0</v>
      </c>
      <c r="H57" s="634"/>
      <c r="I57" s="618">
        <f t="shared" si="4"/>
        <v>0</v>
      </c>
      <c r="J57" s="634"/>
    </row>
    <row r="58" spans="1:10" s="56" customFormat="1" x14ac:dyDescent="0.2">
      <c r="A58" s="630" t="s">
        <v>544</v>
      </c>
      <c r="B58" s="618"/>
      <c r="C58" s="618"/>
      <c r="D58" s="618"/>
      <c r="E58" s="618">
        <f t="shared" si="3"/>
        <v>0</v>
      </c>
      <c r="F58" s="618"/>
      <c r="G58" s="618">
        <f t="shared" si="11"/>
        <v>0</v>
      </c>
      <c r="H58" s="634"/>
      <c r="I58" s="618">
        <f t="shared" si="4"/>
        <v>0</v>
      </c>
      <c r="J58" s="634"/>
    </row>
    <row r="59" spans="1:10" s="56" customFormat="1" x14ac:dyDescent="0.2">
      <c r="A59" s="630"/>
      <c r="B59" s="618"/>
      <c r="C59" s="618"/>
      <c r="D59" s="618"/>
      <c r="E59" s="618">
        <f t="shared" si="3"/>
        <v>0</v>
      </c>
      <c r="F59" s="618"/>
      <c r="G59" s="618">
        <f t="shared" si="11"/>
        <v>0</v>
      </c>
      <c r="H59" s="634"/>
      <c r="I59" s="618">
        <f t="shared" si="4"/>
        <v>0</v>
      </c>
      <c r="J59" s="634"/>
    </row>
    <row r="60" spans="1:10" s="56" customFormat="1" x14ac:dyDescent="0.2">
      <c r="A60" s="632" t="s">
        <v>545</v>
      </c>
      <c r="B60" s="618">
        <f>-B62+B61</f>
        <v>-4325529</v>
      </c>
      <c r="C60" s="618">
        <f t="shared" ref="C60" si="12">-C62+C61</f>
        <v>33574000</v>
      </c>
      <c r="D60" s="618">
        <f>D61-D62</f>
        <v>-1016949</v>
      </c>
      <c r="E60" s="618">
        <f t="shared" si="3"/>
        <v>28231522</v>
      </c>
      <c r="F60" s="618">
        <f>-F62+F61</f>
        <v>-7345608</v>
      </c>
      <c r="G60" s="618">
        <f t="shared" si="11"/>
        <v>-3020079</v>
      </c>
      <c r="H60" s="634">
        <f>G60/B60</f>
        <v>0.69819876366566958</v>
      </c>
      <c r="I60" s="618">
        <f t="shared" si="4"/>
        <v>-35577130</v>
      </c>
      <c r="J60" s="634">
        <f t="shared" si="5"/>
        <v>-1.2601917105283944</v>
      </c>
    </row>
    <row r="61" spans="1:10" s="486" customFormat="1" x14ac:dyDescent="0.2">
      <c r="A61" s="121" t="s">
        <v>572</v>
      </c>
      <c r="B61" s="600"/>
      <c r="C61" s="600">
        <v>33574000</v>
      </c>
      <c r="D61" s="600"/>
      <c r="E61" s="600">
        <f t="shared" si="3"/>
        <v>33574000</v>
      </c>
      <c r="F61" s="600"/>
      <c r="G61" s="600">
        <f t="shared" si="11"/>
        <v>0</v>
      </c>
      <c r="H61" s="635"/>
      <c r="I61" s="600">
        <f t="shared" si="4"/>
        <v>-33574000</v>
      </c>
      <c r="J61" s="635">
        <f t="shared" si="5"/>
        <v>-1</v>
      </c>
    </row>
    <row r="62" spans="1:10" s="56" customFormat="1" x14ac:dyDescent="0.2">
      <c r="A62" s="121" t="s">
        <v>84</v>
      </c>
      <c r="B62" s="600">
        <v>4325529</v>
      </c>
      <c r="C62" s="600"/>
      <c r="D62" s="600">
        <v>1016949</v>
      </c>
      <c r="E62" s="600">
        <f t="shared" si="3"/>
        <v>5342478</v>
      </c>
      <c r="F62" s="600">
        <v>7345608</v>
      </c>
      <c r="G62" s="600">
        <f t="shared" si="11"/>
        <v>3020079</v>
      </c>
      <c r="H62" s="635">
        <f>G62/B62</f>
        <v>0.69819876366566958</v>
      </c>
      <c r="I62" s="600">
        <f t="shared" si="4"/>
        <v>2003130</v>
      </c>
      <c r="J62" s="635">
        <f t="shared" si="5"/>
        <v>0.37494398666686135</v>
      </c>
    </row>
    <row r="63" spans="1:10" s="56" customFormat="1" x14ac:dyDescent="0.2">
      <c r="A63" s="632"/>
      <c r="B63" s="618"/>
      <c r="C63" s="618"/>
      <c r="D63" s="618"/>
      <c r="E63" s="618">
        <f t="shared" si="3"/>
        <v>0</v>
      </c>
      <c r="F63" s="618"/>
      <c r="G63" s="618">
        <f t="shared" si="11"/>
        <v>0</v>
      </c>
      <c r="H63" s="634"/>
      <c r="I63" s="618">
        <f t="shared" si="4"/>
        <v>0</v>
      </c>
      <c r="J63" s="634"/>
    </row>
    <row r="64" spans="1:10" s="56" customFormat="1" x14ac:dyDescent="0.2">
      <c r="A64" s="632" t="s">
        <v>546</v>
      </c>
      <c r="B64" s="618">
        <f>B65+B66</f>
        <v>33820</v>
      </c>
      <c r="C64" s="618">
        <f>C65+C66</f>
        <v>-5952</v>
      </c>
      <c r="D64" s="618"/>
      <c r="E64" s="618">
        <f t="shared" si="3"/>
        <v>27868</v>
      </c>
      <c r="F64" s="618">
        <f>F65+F66</f>
        <v>75868</v>
      </c>
      <c r="G64" s="618">
        <f t="shared" si="11"/>
        <v>42048</v>
      </c>
      <c r="H64" s="634">
        <f>G64/B64</f>
        <v>1.2432879952690716</v>
      </c>
      <c r="I64" s="618">
        <f t="shared" si="4"/>
        <v>48000</v>
      </c>
      <c r="J64" s="634">
        <f t="shared" si="5"/>
        <v>1.7224056265250467</v>
      </c>
    </row>
    <row r="65" spans="1:10" s="56" customFormat="1" x14ac:dyDescent="0.2">
      <c r="A65" s="121" t="s">
        <v>597</v>
      </c>
      <c r="B65" s="600">
        <v>202800</v>
      </c>
      <c r="C65" s="600">
        <v>-7440</v>
      </c>
      <c r="D65" s="600"/>
      <c r="E65" s="600">
        <f t="shared" si="3"/>
        <v>195360</v>
      </c>
      <c r="F65" s="600">
        <v>304200</v>
      </c>
      <c r="G65" s="600">
        <f t="shared" si="11"/>
        <v>101400</v>
      </c>
      <c r="H65" s="635">
        <f>G65/B65</f>
        <v>0.5</v>
      </c>
      <c r="I65" s="600">
        <f t="shared" si="4"/>
        <v>108840</v>
      </c>
      <c r="J65" s="635">
        <f t="shared" si="5"/>
        <v>0.55712530712530717</v>
      </c>
    </row>
    <row r="66" spans="1:10" s="56" customFormat="1" x14ac:dyDescent="0.2">
      <c r="A66" s="121" t="s">
        <v>598</v>
      </c>
      <c r="B66" s="600">
        <v>-168980</v>
      </c>
      <c r="C66" s="600">
        <v>1488</v>
      </c>
      <c r="D66" s="600"/>
      <c r="E66" s="600">
        <f t="shared" si="3"/>
        <v>-167492</v>
      </c>
      <c r="F66" s="600">
        <v>-228332</v>
      </c>
      <c r="G66" s="600">
        <f t="shared" si="11"/>
        <v>-59352</v>
      </c>
      <c r="H66" s="635">
        <f>G66/B66</f>
        <v>0.35123683276127354</v>
      </c>
      <c r="I66" s="600">
        <f t="shared" si="4"/>
        <v>-60840</v>
      </c>
      <c r="J66" s="635">
        <f t="shared" si="5"/>
        <v>0.36324122943185344</v>
      </c>
    </row>
    <row r="67" spans="1:10" s="56" customFormat="1" ht="15.75" x14ac:dyDescent="0.25">
      <c r="A67" s="623"/>
      <c r="B67" s="629"/>
      <c r="C67" s="629"/>
      <c r="D67" s="629"/>
      <c r="E67" s="629">
        <f t="shared" si="3"/>
        <v>0</v>
      </c>
      <c r="F67" s="629"/>
      <c r="G67" s="629">
        <f t="shared" si="11"/>
        <v>0</v>
      </c>
      <c r="H67" s="640"/>
      <c r="I67" s="629">
        <f t="shared" si="4"/>
        <v>0</v>
      </c>
      <c r="J67" s="640"/>
    </row>
    <row r="68" spans="1:10" s="56" customFormat="1" x14ac:dyDescent="0.2">
      <c r="A68" s="630" t="s">
        <v>161</v>
      </c>
      <c r="B68" s="600">
        <v>0</v>
      </c>
      <c r="C68" s="600"/>
      <c r="D68" s="600"/>
      <c r="E68" s="600">
        <f t="shared" si="3"/>
        <v>0</v>
      </c>
      <c r="F68" s="600"/>
      <c r="G68" s="600">
        <f t="shared" si="11"/>
        <v>0</v>
      </c>
      <c r="H68" s="635"/>
      <c r="I68" s="600">
        <f t="shared" si="4"/>
        <v>0</v>
      </c>
      <c r="J68" s="635"/>
    </row>
    <row r="69" spans="1:10" x14ac:dyDescent="0.2">
      <c r="A69" s="619"/>
      <c r="B69" s="600"/>
      <c r="C69" s="600"/>
      <c r="D69" s="600"/>
      <c r="E69" s="600">
        <f t="shared" si="3"/>
        <v>0</v>
      </c>
      <c r="F69" s="600"/>
      <c r="G69" s="600">
        <f t="shared" si="11"/>
        <v>0</v>
      </c>
      <c r="H69" s="635"/>
      <c r="I69" s="600">
        <f t="shared" si="4"/>
        <v>0</v>
      </c>
      <c r="J69" s="635"/>
    </row>
    <row r="70" spans="1:10" x14ac:dyDescent="0.2">
      <c r="A70" s="632" t="s">
        <v>82</v>
      </c>
      <c r="B70" s="618">
        <f>B71-B72-B73</f>
        <v>49585885</v>
      </c>
      <c r="C70" s="618">
        <f>C71-C72-C73</f>
        <v>0</v>
      </c>
      <c r="D70" s="618"/>
      <c r="E70" s="618">
        <f t="shared" si="3"/>
        <v>49585885</v>
      </c>
      <c r="F70" s="618">
        <f>F71-F72-F73</f>
        <v>72885574</v>
      </c>
      <c r="G70" s="618">
        <f t="shared" si="11"/>
        <v>23299689</v>
      </c>
      <c r="H70" s="634">
        <f>G70/B70</f>
        <v>0.46988551278251867</v>
      </c>
      <c r="I70" s="618">
        <f t="shared" si="4"/>
        <v>23299689</v>
      </c>
      <c r="J70" s="634">
        <f t="shared" si="5"/>
        <v>0.46988551278251867</v>
      </c>
    </row>
    <row r="71" spans="1:10" x14ac:dyDescent="0.2">
      <c r="A71" s="121" t="s">
        <v>83</v>
      </c>
      <c r="B71" s="600">
        <v>70000000</v>
      </c>
      <c r="C71" s="600"/>
      <c r="D71" s="600"/>
      <c r="E71" s="600">
        <f t="shared" si="3"/>
        <v>70000000</v>
      </c>
      <c r="F71" s="600">
        <v>90000000</v>
      </c>
      <c r="G71" s="600">
        <f t="shared" ref="G71:G84" si="13">F71-B71</f>
        <v>20000000</v>
      </c>
      <c r="H71" s="635">
        <f>G71/B71</f>
        <v>0.2857142857142857</v>
      </c>
      <c r="I71" s="600">
        <f t="shared" si="4"/>
        <v>20000000</v>
      </c>
      <c r="J71" s="635">
        <f t="shared" si="5"/>
        <v>0.2857142857142857</v>
      </c>
    </row>
    <row r="72" spans="1:10" x14ac:dyDescent="0.2">
      <c r="A72" s="121" t="s">
        <v>84</v>
      </c>
      <c r="B72" s="600">
        <v>19583179</v>
      </c>
      <c r="C72" s="600"/>
      <c r="D72" s="600"/>
      <c r="E72" s="600">
        <f t="shared" si="3"/>
        <v>19583179</v>
      </c>
      <c r="F72" s="600">
        <v>16209156</v>
      </c>
      <c r="G72" s="600">
        <f t="shared" si="13"/>
        <v>-3374023</v>
      </c>
      <c r="H72" s="635">
        <f>G72/B72</f>
        <v>-0.1722918939769687</v>
      </c>
      <c r="I72" s="600">
        <f t="shared" si="4"/>
        <v>-3374023</v>
      </c>
      <c r="J72" s="635">
        <f t="shared" si="5"/>
        <v>-0.1722918939769687</v>
      </c>
    </row>
    <row r="73" spans="1:10" x14ac:dyDescent="0.2">
      <c r="A73" s="121" t="s">
        <v>138</v>
      </c>
      <c r="B73" s="600">
        <v>830936</v>
      </c>
      <c r="C73" s="600"/>
      <c r="D73" s="600"/>
      <c r="E73" s="600">
        <f t="shared" si="3"/>
        <v>830936</v>
      </c>
      <c r="F73" s="600">
        <v>905270</v>
      </c>
      <c r="G73" s="600">
        <f t="shared" si="13"/>
        <v>74334</v>
      </c>
      <c r="H73" s="635">
        <f>G73/B73</f>
        <v>8.9458153215169395E-2</v>
      </c>
      <c r="I73" s="600">
        <f t="shared" si="4"/>
        <v>74334</v>
      </c>
      <c r="J73" s="635">
        <f t="shared" si="5"/>
        <v>8.9458153215169395E-2</v>
      </c>
    </row>
    <row r="74" spans="1:10" s="56" customFormat="1" x14ac:dyDescent="0.2">
      <c r="A74" s="121"/>
      <c r="B74" s="600"/>
      <c r="C74" s="600"/>
      <c r="D74" s="600"/>
      <c r="E74" s="600">
        <f t="shared" ref="E74:E81" si="14">B74+C74+D74</f>
        <v>0</v>
      </c>
      <c r="F74" s="600"/>
      <c r="G74" s="600">
        <f t="shared" si="13"/>
        <v>0</v>
      </c>
      <c r="H74" s="635"/>
      <c r="I74" s="600">
        <f t="shared" si="4"/>
        <v>0</v>
      </c>
      <c r="J74" s="635"/>
    </row>
    <row r="75" spans="1:10" s="56" customFormat="1" x14ac:dyDescent="0.2">
      <c r="A75" s="632" t="s">
        <v>421</v>
      </c>
      <c r="B75" s="618">
        <f>B76+B77</f>
        <v>33820</v>
      </c>
      <c r="C75" s="618">
        <f>C76+C77</f>
        <v>-5952</v>
      </c>
      <c r="D75" s="618"/>
      <c r="E75" s="618">
        <f t="shared" si="14"/>
        <v>27868</v>
      </c>
      <c r="F75" s="618">
        <f>F76+F77</f>
        <v>75868</v>
      </c>
      <c r="G75" s="618">
        <f t="shared" si="13"/>
        <v>42048</v>
      </c>
      <c r="H75" s="634">
        <f>G75/B75</f>
        <v>1.2432879952690716</v>
      </c>
      <c r="I75" s="618">
        <f t="shared" ref="I75:I84" si="15">F75-E75</f>
        <v>48000</v>
      </c>
      <c r="J75" s="634">
        <f t="shared" ref="J75:J84" si="16">I75/E75</f>
        <v>1.7224056265250467</v>
      </c>
    </row>
    <row r="76" spans="1:10" s="56" customFormat="1" x14ac:dyDescent="0.2">
      <c r="A76" s="121" t="s">
        <v>595</v>
      </c>
      <c r="B76" s="600">
        <v>202800</v>
      </c>
      <c r="C76" s="600">
        <v>-7440</v>
      </c>
      <c r="D76" s="600"/>
      <c r="E76" s="600">
        <f t="shared" si="14"/>
        <v>195360</v>
      </c>
      <c r="F76" s="600">
        <v>304200</v>
      </c>
      <c r="G76" s="600">
        <f t="shared" si="13"/>
        <v>101400</v>
      </c>
      <c r="H76" s="635">
        <f>G76/B76</f>
        <v>0.5</v>
      </c>
      <c r="I76" s="600">
        <f t="shared" si="15"/>
        <v>108840</v>
      </c>
      <c r="J76" s="635">
        <f t="shared" si="16"/>
        <v>0.55712530712530717</v>
      </c>
    </row>
    <row r="77" spans="1:10" s="56" customFormat="1" x14ac:dyDescent="0.2">
      <c r="A77" s="121" t="s">
        <v>596</v>
      </c>
      <c r="B77" s="600">
        <v>-168980</v>
      </c>
      <c r="C77" s="600">
        <v>1488</v>
      </c>
      <c r="D77" s="600"/>
      <c r="E77" s="600">
        <f t="shared" si="14"/>
        <v>-167492</v>
      </c>
      <c r="F77" s="600">
        <v>-228332</v>
      </c>
      <c r="G77" s="600">
        <f t="shared" si="13"/>
        <v>-59352</v>
      </c>
      <c r="H77" s="635">
        <f>G77/B77</f>
        <v>0.35123683276127354</v>
      </c>
      <c r="I77" s="600">
        <f t="shared" si="15"/>
        <v>-60840</v>
      </c>
      <c r="J77" s="635">
        <f t="shared" si="16"/>
        <v>0.36324122943185344</v>
      </c>
    </row>
    <row r="78" spans="1:10" s="56" customFormat="1" x14ac:dyDescent="0.2">
      <c r="A78" s="121"/>
      <c r="B78" s="600"/>
      <c r="C78" s="600"/>
      <c r="D78" s="600"/>
      <c r="E78" s="600">
        <f t="shared" si="14"/>
        <v>0</v>
      </c>
      <c r="F78" s="600"/>
      <c r="G78" s="600">
        <f t="shared" si="13"/>
        <v>0</v>
      </c>
      <c r="H78" s="635"/>
      <c r="I78" s="600">
        <f t="shared" si="15"/>
        <v>0</v>
      </c>
      <c r="J78" s="635"/>
    </row>
    <row r="79" spans="1:10" x14ac:dyDescent="0.2">
      <c r="A79" s="633"/>
      <c r="B79" s="618"/>
      <c r="C79" s="618"/>
      <c r="D79" s="618"/>
      <c r="E79" s="618">
        <f t="shared" si="14"/>
        <v>0</v>
      </c>
      <c r="F79" s="618"/>
      <c r="G79" s="618">
        <f t="shared" si="13"/>
        <v>0</v>
      </c>
      <c r="H79" s="634"/>
      <c r="I79" s="618">
        <f t="shared" si="15"/>
        <v>0</v>
      </c>
      <c r="J79" s="634"/>
    </row>
    <row r="80" spans="1:10" s="56" customFormat="1" x14ac:dyDescent="0.2">
      <c r="A80" s="630" t="s">
        <v>86</v>
      </c>
      <c r="B80" s="40">
        <f>+B49-B70+B64-B75+B52-B62</f>
        <v>10897693</v>
      </c>
      <c r="C80" s="40">
        <f>+C49-C70+C64-C75+C52-C62+C54+C61</f>
        <v>700284</v>
      </c>
      <c r="D80" s="40">
        <f>+D49-D70+D64-D75+D52-D62+D56</f>
        <v>40388.199999999255</v>
      </c>
      <c r="E80" s="40">
        <f t="shared" si="14"/>
        <v>11638365.199999999</v>
      </c>
      <c r="F80" s="40">
        <f>+F49-F70+F64-F75+F52-F62+F54+F61</f>
        <v>-12496072</v>
      </c>
      <c r="G80" s="40">
        <f t="shared" si="13"/>
        <v>-23393765</v>
      </c>
      <c r="H80" s="638">
        <f>G80/B80</f>
        <v>-2.1466713184157418</v>
      </c>
      <c r="I80" s="40">
        <f t="shared" si="15"/>
        <v>-24134437.199999999</v>
      </c>
      <c r="J80" s="638">
        <f t="shared" si="16"/>
        <v>-2.0736965016358142</v>
      </c>
    </row>
    <row r="81" spans="1:10" s="56" customFormat="1" x14ac:dyDescent="0.2">
      <c r="A81" s="630"/>
      <c r="B81" s="40"/>
      <c r="C81" s="40"/>
      <c r="D81" s="40"/>
      <c r="E81" s="40">
        <f t="shared" si="14"/>
        <v>0</v>
      </c>
      <c r="F81" s="40"/>
      <c r="G81" s="40">
        <f t="shared" si="13"/>
        <v>0</v>
      </c>
      <c r="H81" s="638"/>
      <c r="I81" s="40">
        <f t="shared" si="15"/>
        <v>0</v>
      </c>
      <c r="J81" s="638"/>
    </row>
    <row r="82" spans="1:10" s="56" customFormat="1" x14ac:dyDescent="0.2">
      <c r="A82" s="633"/>
      <c r="B82" s="618"/>
      <c r="C82" s="618"/>
      <c r="D82" s="618"/>
      <c r="E82" s="618">
        <f t="shared" ref="E82" si="17">B82+C82</f>
        <v>0</v>
      </c>
      <c r="F82" s="618"/>
      <c r="G82" s="618">
        <f t="shared" si="13"/>
        <v>0</v>
      </c>
      <c r="H82" s="634"/>
      <c r="I82" s="618">
        <f t="shared" si="15"/>
        <v>0</v>
      </c>
      <c r="J82" s="634"/>
    </row>
    <row r="83" spans="1:10" s="56" customFormat="1" x14ac:dyDescent="0.2">
      <c r="A83" s="17" t="s">
        <v>87</v>
      </c>
      <c r="B83" s="46">
        <f>B7-B48+B71-B64+B62-B52</f>
        <v>862071097</v>
      </c>
      <c r="C83" s="46">
        <f>C7-C48+C71-C64+C62-C52</f>
        <v>106279540</v>
      </c>
      <c r="D83" s="46">
        <f>D7-D48+D71-D64+D62-D55</f>
        <v>5149293</v>
      </c>
      <c r="E83" s="46">
        <f>E7-E48+E71-E64+E62-E52-E55</f>
        <v>956337227</v>
      </c>
      <c r="F83" s="46">
        <f>F7-F48+F71-F64+F62-F52</f>
        <v>1032770665</v>
      </c>
      <c r="G83" s="46">
        <f t="shared" si="13"/>
        <v>170699568</v>
      </c>
      <c r="H83" s="791">
        <f>G83/B83</f>
        <v>0.19801100929381929</v>
      </c>
      <c r="I83" s="46">
        <f t="shared" si="15"/>
        <v>76433438</v>
      </c>
      <c r="J83" s="791">
        <f t="shared" si="16"/>
        <v>7.9923102271956203E-2</v>
      </c>
    </row>
    <row r="84" spans="1:10" x14ac:dyDescent="0.2">
      <c r="A84" s="17" t="s">
        <v>88</v>
      </c>
      <c r="B84" s="46">
        <f>B25+B46+B72+B73-B75</f>
        <v>862071097</v>
      </c>
      <c r="C84" s="46">
        <f>C25+C46+C72+C73-C75+C54+C61</f>
        <v>106279540</v>
      </c>
      <c r="D84" s="46">
        <f>D25+D46+D72+D73-D75+D52+D54</f>
        <v>5149293</v>
      </c>
      <c r="E84" s="46">
        <f>E25+E46+E72+E73-E75+E54+E61</f>
        <v>956337227</v>
      </c>
      <c r="F84" s="46">
        <f>F25+F46+F72+F73-F75</f>
        <v>1032770665</v>
      </c>
      <c r="G84" s="46">
        <f t="shared" si="13"/>
        <v>170699568</v>
      </c>
      <c r="H84" s="791">
        <f>G84/B84</f>
        <v>0.19801100929381929</v>
      </c>
      <c r="I84" s="46">
        <f t="shared" si="15"/>
        <v>76433438</v>
      </c>
      <c r="J84" s="791">
        <f t="shared" si="16"/>
        <v>7.9923102271956203E-2</v>
      </c>
    </row>
    <row r="85" spans="1:10" s="56" customFormat="1" x14ac:dyDescent="0.2">
      <c r="A85" s="6"/>
      <c r="B85" s="150"/>
      <c r="C85" s="150">
        <f>C83-C84</f>
        <v>0</v>
      </c>
      <c r="D85" s="150">
        <f>D83-D84</f>
        <v>0</v>
      </c>
      <c r="E85" s="150">
        <f>E83-E84</f>
        <v>0</v>
      </c>
      <c r="F85" s="54"/>
      <c r="I85" s="54"/>
      <c r="J85" s="543"/>
    </row>
    <row r="86" spans="1:10" x14ac:dyDescent="0.2">
      <c r="A86" s="23"/>
      <c r="B86" s="150">
        <f>B83-B84</f>
        <v>0</v>
      </c>
      <c r="C86" s="150">
        <f t="shared" ref="C86:I86" si="18">C83-C84</f>
        <v>0</v>
      </c>
      <c r="D86" s="150"/>
      <c r="E86" s="150">
        <f t="shared" si="18"/>
        <v>0</v>
      </c>
      <c r="F86" s="150"/>
      <c r="I86" s="150">
        <f t="shared" si="18"/>
        <v>0</v>
      </c>
      <c r="J86" s="543"/>
    </row>
    <row r="87" spans="1:10" x14ac:dyDescent="0.2">
      <c r="A87" s="23"/>
      <c r="B87" s="46"/>
      <c r="C87" s="46"/>
      <c r="D87" s="46"/>
      <c r="E87" s="46"/>
      <c r="F87" s="54"/>
    </row>
    <row r="88" spans="1:10" x14ac:dyDescent="0.2">
      <c r="A88" s="23"/>
      <c r="B88" s="247"/>
      <c r="C88" s="247"/>
      <c r="D88" s="247"/>
      <c r="E88" s="247"/>
      <c r="F88" s="54"/>
    </row>
    <row r="89" spans="1:10" x14ac:dyDescent="0.2">
      <c r="A89" s="17"/>
      <c r="B89" s="46"/>
      <c r="C89" s="46"/>
      <c r="D89" s="46"/>
      <c r="E89" s="46"/>
    </row>
    <row r="90" spans="1:10" x14ac:dyDescent="0.2">
      <c r="A90" s="15"/>
      <c r="B90" s="46"/>
      <c r="C90" s="46"/>
      <c r="D90" s="46"/>
      <c r="E90" s="46"/>
    </row>
    <row r="91" spans="1:10" x14ac:dyDescent="0.2">
      <c r="A91" s="16"/>
      <c r="B91" s="46"/>
      <c r="C91" s="46"/>
      <c r="D91" s="46"/>
      <c r="E91" s="46"/>
    </row>
    <row r="92" spans="1:10" x14ac:dyDescent="0.2">
      <c r="A92" s="16"/>
      <c r="B92" s="46"/>
      <c r="C92" s="46"/>
      <c r="D92" s="46"/>
      <c r="E92" s="46"/>
    </row>
    <row r="93" spans="1:10" x14ac:dyDescent="0.2">
      <c r="A93" s="238"/>
      <c r="B93" s="46"/>
      <c r="C93" s="46"/>
      <c r="D93" s="46"/>
      <c r="E93" s="46"/>
    </row>
    <row r="94" spans="1:10" x14ac:dyDescent="0.2">
      <c r="A94" s="238"/>
      <c r="B94" s="46"/>
      <c r="C94" s="46"/>
      <c r="D94" s="46"/>
      <c r="E94" s="46"/>
    </row>
    <row r="95" spans="1:10" x14ac:dyDescent="0.2">
      <c r="A95" s="238"/>
      <c r="B95" s="46"/>
      <c r="C95" s="46"/>
      <c r="D95" s="46"/>
      <c r="E95" s="46"/>
    </row>
    <row r="96" spans="1:10" x14ac:dyDescent="0.2">
      <c r="A96" s="18"/>
      <c r="B96" s="46"/>
      <c r="C96" s="46"/>
      <c r="D96" s="46"/>
      <c r="E96" s="46"/>
    </row>
    <row r="97" spans="1:5" x14ac:dyDescent="0.2">
      <c r="A97" s="16"/>
      <c r="B97" s="46"/>
      <c r="C97" s="46"/>
      <c r="D97" s="46"/>
      <c r="E97" s="46"/>
    </row>
    <row r="98" spans="1:5" x14ac:dyDescent="0.2">
      <c r="A98" s="16"/>
      <c r="B98" s="46"/>
      <c r="C98" s="46"/>
      <c r="D98" s="46"/>
      <c r="E98" s="46"/>
    </row>
    <row r="99" spans="1:5" x14ac:dyDescent="0.2">
      <c r="B99" s="46"/>
      <c r="C99" s="46"/>
      <c r="D99" s="46"/>
      <c r="E99" s="46"/>
    </row>
    <row r="100" spans="1:5" x14ac:dyDescent="0.2">
      <c r="B100" s="241"/>
      <c r="C100" s="241"/>
      <c r="D100" s="241"/>
      <c r="E100" s="241"/>
    </row>
    <row r="101" spans="1:5" x14ac:dyDescent="0.2">
      <c r="A101" s="18"/>
      <c r="B101" s="241"/>
      <c r="C101" s="241"/>
      <c r="D101" s="241"/>
      <c r="E101" s="241"/>
    </row>
    <row r="102" spans="1:5" x14ac:dyDescent="0.2">
      <c r="B102" s="241"/>
      <c r="C102" s="241"/>
      <c r="D102" s="241"/>
      <c r="E102" s="241"/>
    </row>
    <row r="103" spans="1:5" x14ac:dyDescent="0.2">
      <c r="B103" s="241"/>
      <c r="C103" s="241"/>
      <c r="D103" s="241"/>
      <c r="E103" s="241"/>
    </row>
    <row r="104" spans="1:5" x14ac:dyDescent="0.2">
      <c r="B104" s="241"/>
      <c r="C104" s="241"/>
      <c r="D104" s="241"/>
      <c r="E104" s="241"/>
    </row>
    <row r="105" spans="1:5" x14ac:dyDescent="0.2">
      <c r="B105" s="241"/>
      <c r="C105" s="241"/>
      <c r="D105" s="241"/>
      <c r="E105" s="241"/>
    </row>
    <row r="106" spans="1:5" x14ac:dyDescent="0.2">
      <c r="B106" s="241"/>
      <c r="C106" s="241"/>
      <c r="D106" s="241"/>
      <c r="E106" s="241"/>
    </row>
    <row r="107" spans="1:5" x14ac:dyDescent="0.2">
      <c r="A107" s="18"/>
      <c r="B107" s="241"/>
      <c r="C107" s="241"/>
      <c r="D107" s="241"/>
      <c r="E107" s="241"/>
    </row>
    <row r="108" spans="1:5" x14ac:dyDescent="0.2">
      <c r="B108" s="241"/>
      <c r="C108" s="241"/>
      <c r="D108" s="241"/>
      <c r="E108" s="241"/>
    </row>
    <row r="109" spans="1:5" x14ac:dyDescent="0.2">
      <c r="B109" s="241"/>
      <c r="C109" s="241"/>
      <c r="D109" s="241"/>
      <c r="E109" s="241"/>
    </row>
    <row r="110" spans="1:5" x14ac:dyDescent="0.2">
      <c r="B110" s="241"/>
      <c r="C110" s="241"/>
      <c r="D110" s="241"/>
      <c r="E110" s="241"/>
    </row>
  </sheetData>
  <autoFilter ref="A6:J85" xr:uid="{00000000-0009-0000-0000-000000000000}"/>
  <mergeCells count="3">
    <mergeCell ref="I3:J3"/>
    <mergeCell ref="G3:H3"/>
    <mergeCell ref="B3:E3"/>
  </mergeCells>
  <phoneticPr fontId="37" type="noConversion"/>
  <pageMargins left="1.1811023622047245" right="0.47244094488188981" top="0.47244094488188981" bottom="0.98425196850393704" header="0.51181102362204722" footer="0.51181102362204722"/>
  <pageSetup paperSize="9" orientation="landscape" r:id="rId1"/>
  <headerFooter alignWithMargins="0"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0">
    <tabColor theme="9" tint="0.79998168889431442"/>
  </sheetPr>
  <dimension ref="A1:H47"/>
  <sheetViews>
    <sheetView zoomScaleNormal="100" workbookViewId="0"/>
  </sheetViews>
  <sheetFormatPr defaultRowHeight="12.75" x14ac:dyDescent="0.2"/>
  <cols>
    <col min="1" max="1" width="48.140625" bestFit="1" customWidth="1"/>
    <col min="2" max="2" width="12.42578125" customWidth="1"/>
    <col min="3" max="3" width="11.5703125" bestFit="1" customWidth="1"/>
    <col min="4" max="4" width="13.42578125" bestFit="1" customWidth="1"/>
    <col min="5" max="5" width="11.7109375" bestFit="1" customWidth="1"/>
    <col min="7" max="7" width="11.7109375" bestFit="1" customWidth="1"/>
  </cols>
  <sheetData>
    <row r="1" spans="1:8" ht="15" x14ac:dyDescent="0.25">
      <c r="A1" s="57" t="s">
        <v>31</v>
      </c>
      <c r="B1" s="58"/>
    </row>
    <row r="2" spans="1:8" s="56" customFormat="1" ht="12.75" customHeight="1" x14ac:dyDescent="0.25">
      <c r="A2" s="57"/>
      <c r="B2" s="58"/>
    </row>
    <row r="3" spans="1:8" ht="12.75" customHeight="1" x14ac:dyDescent="0.25">
      <c r="A3" s="41"/>
      <c r="B3" s="1000">
        <v>2021</v>
      </c>
      <c r="C3" s="1002"/>
      <c r="D3" s="807">
        <v>2022</v>
      </c>
      <c r="E3" s="998" t="s">
        <v>1075</v>
      </c>
      <c r="F3" s="999"/>
      <c r="G3" s="996" t="s">
        <v>1076</v>
      </c>
      <c r="H3" s="997"/>
    </row>
    <row r="4" spans="1:8" ht="26.25" customHeight="1" x14ac:dyDescent="0.25">
      <c r="A4" s="41"/>
      <c r="B4" s="813" t="s">
        <v>859</v>
      </c>
      <c r="C4" s="813" t="s">
        <v>860</v>
      </c>
      <c r="D4" s="808" t="s">
        <v>1074</v>
      </c>
      <c r="E4" s="809" t="s">
        <v>53</v>
      </c>
      <c r="F4" s="810" t="s">
        <v>981</v>
      </c>
      <c r="G4" s="811" t="s">
        <v>53</v>
      </c>
      <c r="H4" s="812" t="s">
        <v>981</v>
      </c>
    </row>
    <row r="5" spans="1:8" x14ac:dyDescent="0.2">
      <c r="A5" s="74" t="s">
        <v>32</v>
      </c>
      <c r="B5" s="40">
        <v>756445056</v>
      </c>
      <c r="C5" s="40">
        <v>779664545</v>
      </c>
      <c r="D5" s="40">
        <v>859203541</v>
      </c>
      <c r="E5" s="40">
        <f>D5-B5</f>
        <v>102758485</v>
      </c>
      <c r="F5" s="638">
        <f>E5/B5</f>
        <v>0.13584395083943809</v>
      </c>
      <c r="G5" s="40">
        <f>D5-C5</f>
        <v>79538996</v>
      </c>
      <c r="H5" s="638">
        <f>G5/C5</f>
        <v>0.10201694627527279</v>
      </c>
    </row>
    <row r="6" spans="1:8" x14ac:dyDescent="0.2">
      <c r="A6" s="74" t="s">
        <v>33</v>
      </c>
      <c r="B6" s="40">
        <v>611841034</v>
      </c>
      <c r="C6" s="40">
        <v>621261568</v>
      </c>
      <c r="D6" s="40">
        <v>685370663</v>
      </c>
      <c r="E6" s="40">
        <f t="shared" ref="E6:E41" si="0">D6-B6</f>
        <v>73529629</v>
      </c>
      <c r="F6" s="638">
        <f t="shared" ref="F6:F41" si="1">E6/B6</f>
        <v>0.12017766856742074</v>
      </c>
      <c r="G6" s="40">
        <f t="shared" ref="G6:G41" si="2">D6-C6</f>
        <v>64109095</v>
      </c>
      <c r="H6" s="638">
        <f t="shared" ref="H6:H41" si="3">G6/C6</f>
        <v>0.1031917928005487</v>
      </c>
    </row>
    <row r="7" spans="1:8" x14ac:dyDescent="0.2">
      <c r="A7" s="250" t="s">
        <v>145</v>
      </c>
      <c r="B7" s="73">
        <v>520248536</v>
      </c>
      <c r="C7" s="73">
        <v>535568536</v>
      </c>
      <c r="D7" s="73">
        <v>593370000</v>
      </c>
      <c r="E7" s="73">
        <f t="shared" si="0"/>
        <v>73121464</v>
      </c>
      <c r="F7" s="860">
        <f t="shared" si="1"/>
        <v>0.14055102309792949</v>
      </c>
      <c r="G7" s="73">
        <f t="shared" si="2"/>
        <v>57801464</v>
      </c>
      <c r="H7" s="860">
        <f t="shared" si="3"/>
        <v>0.1079254289874863</v>
      </c>
    </row>
    <row r="8" spans="1:8" x14ac:dyDescent="0.2">
      <c r="A8" s="250" t="s">
        <v>146</v>
      </c>
      <c r="B8" s="73">
        <v>483748536</v>
      </c>
      <c r="C8" s="73">
        <v>497468536</v>
      </c>
      <c r="D8" s="73">
        <v>556000000</v>
      </c>
      <c r="E8" s="73">
        <f t="shared" si="0"/>
        <v>72251464</v>
      </c>
      <c r="F8" s="860">
        <f t="shared" si="1"/>
        <v>0.14935748353355224</v>
      </c>
      <c r="G8" s="73">
        <f t="shared" si="2"/>
        <v>58531464</v>
      </c>
      <c r="H8" s="860">
        <f t="shared" si="3"/>
        <v>0.1176586251477018</v>
      </c>
    </row>
    <row r="9" spans="1:8" x14ac:dyDescent="0.2">
      <c r="A9" s="250" t="s">
        <v>147</v>
      </c>
      <c r="B9" s="73">
        <v>25400000</v>
      </c>
      <c r="C9" s="73">
        <v>25400000</v>
      </c>
      <c r="D9" s="73">
        <v>25400000</v>
      </c>
      <c r="E9" s="73">
        <f t="shared" si="0"/>
        <v>0</v>
      </c>
      <c r="F9" s="860">
        <f t="shared" si="1"/>
        <v>0</v>
      </c>
      <c r="G9" s="73">
        <f t="shared" si="2"/>
        <v>0</v>
      </c>
      <c r="H9" s="860">
        <f t="shared" si="3"/>
        <v>0</v>
      </c>
    </row>
    <row r="10" spans="1:8" x14ac:dyDescent="0.2">
      <c r="A10" s="237" t="s">
        <v>148</v>
      </c>
      <c r="B10" s="73">
        <v>11100000</v>
      </c>
      <c r="C10" s="73">
        <v>12700000</v>
      </c>
      <c r="D10" s="73">
        <v>11970000</v>
      </c>
      <c r="E10" s="73">
        <f t="shared" si="0"/>
        <v>870000</v>
      </c>
      <c r="F10" s="860">
        <f t="shared" si="1"/>
        <v>7.8378378378378383E-2</v>
      </c>
      <c r="G10" s="73">
        <f t="shared" si="2"/>
        <v>-730000</v>
      </c>
      <c r="H10" s="860">
        <f t="shared" si="3"/>
        <v>-5.748031496062992E-2</v>
      </c>
    </row>
    <row r="11" spans="1:8" x14ac:dyDescent="0.2">
      <c r="A11" s="237" t="s">
        <v>149</v>
      </c>
      <c r="B11" s="73">
        <v>89650898</v>
      </c>
      <c r="C11" s="73">
        <v>82488668</v>
      </c>
      <c r="D11" s="73">
        <v>90137039</v>
      </c>
      <c r="E11" s="73">
        <f t="shared" si="0"/>
        <v>486141</v>
      </c>
      <c r="F11" s="860">
        <f t="shared" si="1"/>
        <v>5.4226004518103102E-3</v>
      </c>
      <c r="G11" s="73">
        <f t="shared" si="2"/>
        <v>7648371</v>
      </c>
      <c r="H11" s="860">
        <f t="shared" si="3"/>
        <v>9.2720263103290748E-2</v>
      </c>
    </row>
    <row r="12" spans="1:8" x14ac:dyDescent="0.2">
      <c r="A12" s="237" t="s">
        <v>150</v>
      </c>
      <c r="B12" s="73">
        <v>1941600</v>
      </c>
      <c r="C12" s="73">
        <v>3204364</v>
      </c>
      <c r="D12" s="73">
        <v>1863624</v>
      </c>
      <c r="E12" s="73">
        <f t="shared" si="0"/>
        <v>-77976</v>
      </c>
      <c r="F12" s="860">
        <f t="shared" si="1"/>
        <v>-4.0160692212608158E-2</v>
      </c>
      <c r="G12" s="73">
        <f t="shared" si="2"/>
        <v>-1340740</v>
      </c>
      <c r="H12" s="860">
        <f t="shared" si="3"/>
        <v>-0.41841064248630927</v>
      </c>
    </row>
    <row r="13" spans="1:8" x14ac:dyDescent="0.2">
      <c r="A13" s="23" t="s">
        <v>34</v>
      </c>
      <c r="B13" s="40">
        <v>144604022</v>
      </c>
      <c r="C13" s="40">
        <v>158402977</v>
      </c>
      <c r="D13" s="40">
        <v>173832878</v>
      </c>
      <c r="E13" s="40">
        <f t="shared" si="0"/>
        <v>29228856</v>
      </c>
      <c r="F13" s="638">
        <f t="shared" si="1"/>
        <v>0.2021303114238413</v>
      </c>
      <c r="G13" s="40">
        <f t="shared" si="2"/>
        <v>15429901</v>
      </c>
      <c r="H13" s="638">
        <f t="shared" si="3"/>
        <v>9.740916043516025E-2</v>
      </c>
    </row>
    <row r="14" spans="1:8" x14ac:dyDescent="0.2">
      <c r="A14" s="237" t="s">
        <v>151</v>
      </c>
      <c r="B14" s="73">
        <v>132280785</v>
      </c>
      <c r="C14" s="73">
        <v>148858215</v>
      </c>
      <c r="D14" s="73">
        <v>149860731</v>
      </c>
      <c r="E14" s="73">
        <f t="shared" si="0"/>
        <v>17579946</v>
      </c>
      <c r="F14" s="860">
        <f t="shared" si="1"/>
        <v>0.13289871238668563</v>
      </c>
      <c r="G14" s="73">
        <f t="shared" si="2"/>
        <v>1002516</v>
      </c>
      <c r="H14" s="860">
        <f t="shared" si="3"/>
        <v>6.734703892559776E-3</v>
      </c>
    </row>
    <row r="15" spans="1:8" x14ac:dyDescent="0.2">
      <c r="A15" s="237" t="s">
        <v>152</v>
      </c>
      <c r="B15" s="73">
        <v>12323237</v>
      </c>
      <c r="C15" s="73">
        <v>9544762</v>
      </c>
      <c r="D15" s="73">
        <v>23922347</v>
      </c>
      <c r="E15" s="73">
        <f t="shared" si="0"/>
        <v>11599110</v>
      </c>
      <c r="F15" s="860">
        <f t="shared" si="1"/>
        <v>0.94123889689048423</v>
      </c>
      <c r="G15" s="73">
        <f t="shared" si="2"/>
        <v>14377585</v>
      </c>
      <c r="H15" s="860">
        <f t="shared" si="3"/>
        <v>1.5063324784840104</v>
      </c>
    </row>
    <row r="16" spans="1:8" x14ac:dyDescent="0.2">
      <c r="A16" s="859" t="s">
        <v>1080</v>
      </c>
      <c r="B16" s="73"/>
      <c r="C16" s="73"/>
      <c r="D16" s="73">
        <v>49800</v>
      </c>
      <c r="E16" s="73">
        <f t="shared" si="0"/>
        <v>49800</v>
      </c>
      <c r="F16" s="860"/>
      <c r="G16" s="73">
        <f t="shared" si="2"/>
        <v>49800</v>
      </c>
      <c r="H16" s="860"/>
    </row>
    <row r="17" spans="1:8" x14ac:dyDescent="0.2">
      <c r="A17" s="23" t="s">
        <v>35</v>
      </c>
      <c r="B17" s="40">
        <v>-712035836</v>
      </c>
      <c r="C17" s="40">
        <v>-733551187</v>
      </c>
      <c r="D17" s="40">
        <v>-835080003</v>
      </c>
      <c r="E17" s="40">
        <f t="shared" si="0"/>
        <v>-123044167</v>
      </c>
      <c r="F17" s="638">
        <f t="shared" si="1"/>
        <v>0.17280614370650862</v>
      </c>
      <c r="G17" s="40">
        <f t="shared" si="2"/>
        <v>-101528816</v>
      </c>
      <c r="H17" s="638">
        <f t="shared" si="3"/>
        <v>0.13840726836694492</v>
      </c>
    </row>
    <row r="18" spans="1:8" x14ac:dyDescent="0.2">
      <c r="A18" s="237" t="s">
        <v>153</v>
      </c>
      <c r="B18" s="73">
        <v>-709035836</v>
      </c>
      <c r="C18" s="73">
        <v>-731244412</v>
      </c>
      <c r="D18" s="73">
        <v>-832080003</v>
      </c>
      <c r="E18" s="73">
        <f>D18-B18</f>
        <v>-123044167</v>
      </c>
      <c r="F18" s="860">
        <f t="shared" si="1"/>
        <v>0.17353730340930187</v>
      </c>
      <c r="G18" s="73">
        <f t="shared" si="2"/>
        <v>-100835591</v>
      </c>
      <c r="H18" s="860">
        <f t="shared" si="3"/>
        <v>0.13789587905938078</v>
      </c>
    </row>
    <row r="19" spans="1:8" x14ac:dyDescent="0.2">
      <c r="A19" s="237" t="s">
        <v>154</v>
      </c>
      <c r="B19" s="73">
        <v>-3000000</v>
      </c>
      <c r="C19" s="73">
        <v>-2306775</v>
      </c>
      <c r="D19" s="73">
        <v>-3000000</v>
      </c>
      <c r="E19" s="73">
        <f t="shared" si="0"/>
        <v>0</v>
      </c>
      <c r="F19" s="860">
        <f t="shared" si="1"/>
        <v>0</v>
      </c>
      <c r="G19" s="73">
        <f t="shared" si="2"/>
        <v>-693225</v>
      </c>
      <c r="H19" s="860">
        <f t="shared" si="3"/>
        <v>0.30051695548980722</v>
      </c>
    </row>
    <row r="20" spans="1:8" x14ac:dyDescent="0.2">
      <c r="A20" s="23" t="s">
        <v>36</v>
      </c>
      <c r="B20" s="40">
        <v>44409220</v>
      </c>
      <c r="C20" s="40">
        <v>46113358</v>
      </c>
      <c r="D20" s="40">
        <v>24123538</v>
      </c>
      <c r="E20" s="40">
        <f t="shared" si="0"/>
        <v>-20285682</v>
      </c>
      <c r="F20" s="638">
        <f t="shared" si="1"/>
        <v>-0.45678987381449165</v>
      </c>
      <c r="G20" s="40">
        <f t="shared" si="2"/>
        <v>-21989820</v>
      </c>
      <c r="H20" s="638">
        <f t="shared" si="3"/>
        <v>-0.47686442613873403</v>
      </c>
    </row>
    <row r="21" spans="1:8" x14ac:dyDescent="0.2">
      <c r="A21" s="237"/>
      <c r="B21" s="859"/>
      <c r="C21" s="859"/>
      <c r="D21" s="859"/>
      <c r="E21" s="859"/>
      <c r="F21" s="860"/>
      <c r="G21" s="859"/>
      <c r="H21" s="860"/>
    </row>
    <row r="22" spans="1:8" x14ac:dyDescent="0.2">
      <c r="A22" s="74" t="s">
        <v>37</v>
      </c>
      <c r="B22" s="40">
        <v>9007100</v>
      </c>
      <c r="C22" s="40">
        <v>11140563</v>
      </c>
      <c r="D22" s="40">
        <v>9537000</v>
      </c>
      <c r="E22" s="40">
        <f t="shared" si="0"/>
        <v>529900</v>
      </c>
      <c r="F22" s="638">
        <f t="shared" si="1"/>
        <v>5.8831366366533071E-2</v>
      </c>
      <c r="G22" s="40">
        <f t="shared" si="2"/>
        <v>-1603563</v>
      </c>
      <c r="H22" s="638">
        <f t="shared" si="3"/>
        <v>-0.14393913485341808</v>
      </c>
    </row>
    <row r="23" spans="1:8" x14ac:dyDescent="0.2">
      <c r="A23" s="168" t="s">
        <v>155</v>
      </c>
      <c r="B23" s="73">
        <v>949100</v>
      </c>
      <c r="C23" s="73">
        <v>925100</v>
      </c>
      <c r="D23" s="73">
        <v>640000</v>
      </c>
      <c r="E23" s="73">
        <f t="shared" si="0"/>
        <v>-309100</v>
      </c>
      <c r="F23" s="860">
        <f t="shared" si="1"/>
        <v>-0.32567695711726902</v>
      </c>
      <c r="G23" s="73">
        <f t="shared" si="2"/>
        <v>-285100</v>
      </c>
      <c r="H23" s="860">
        <f t="shared" si="3"/>
        <v>-0.30818289914603825</v>
      </c>
    </row>
    <row r="24" spans="1:8" x14ac:dyDescent="0.2">
      <c r="A24" s="168" t="s">
        <v>156</v>
      </c>
      <c r="B24" s="73">
        <v>7800000</v>
      </c>
      <c r="C24" s="73">
        <v>9957463</v>
      </c>
      <c r="D24" s="73">
        <v>8600000</v>
      </c>
      <c r="E24" s="73">
        <f t="shared" si="0"/>
        <v>800000</v>
      </c>
      <c r="F24" s="860">
        <f t="shared" si="1"/>
        <v>0.10256410256410256</v>
      </c>
      <c r="G24" s="73">
        <f t="shared" si="2"/>
        <v>-1357463</v>
      </c>
      <c r="H24" s="860">
        <f t="shared" si="3"/>
        <v>-0.13632619071745483</v>
      </c>
    </row>
    <row r="25" spans="1:8" x14ac:dyDescent="0.2">
      <c r="A25" s="168" t="s">
        <v>157</v>
      </c>
      <c r="B25" s="73">
        <v>258000</v>
      </c>
      <c r="C25" s="73">
        <v>258000</v>
      </c>
      <c r="D25" s="73">
        <v>297000</v>
      </c>
      <c r="E25" s="73">
        <f t="shared" si="0"/>
        <v>39000</v>
      </c>
      <c r="F25" s="860">
        <f t="shared" si="1"/>
        <v>0.15116279069767441</v>
      </c>
      <c r="G25" s="73">
        <f t="shared" si="2"/>
        <v>39000</v>
      </c>
      <c r="H25" s="860">
        <f t="shared" si="3"/>
        <v>0.15116279069767441</v>
      </c>
    </row>
    <row r="26" spans="1:8" x14ac:dyDescent="0.2">
      <c r="A26" s="23" t="s">
        <v>38</v>
      </c>
      <c r="B26" s="40">
        <v>-129654966</v>
      </c>
      <c r="C26" s="40">
        <v>-168775160</v>
      </c>
      <c r="D26" s="40">
        <v>-180652104</v>
      </c>
      <c r="E26" s="40">
        <f t="shared" si="0"/>
        <v>-50997138</v>
      </c>
      <c r="F26" s="638">
        <f t="shared" si="1"/>
        <v>0.39332961608273453</v>
      </c>
      <c r="G26" s="40">
        <f t="shared" si="2"/>
        <v>-11876944</v>
      </c>
      <c r="H26" s="638">
        <f t="shared" si="3"/>
        <v>7.0371398255525283E-2</v>
      </c>
    </row>
    <row r="27" spans="1:8" x14ac:dyDescent="0.2">
      <c r="A27" s="168" t="s">
        <v>158</v>
      </c>
      <c r="B27" s="73">
        <v>-129654966</v>
      </c>
      <c r="C27" s="73">
        <v>-110305169</v>
      </c>
      <c r="D27" s="73">
        <v>-180652104</v>
      </c>
      <c r="E27" s="73">
        <f t="shared" si="0"/>
        <v>-50997138</v>
      </c>
      <c r="F27" s="860">
        <f t="shared" si="1"/>
        <v>0.39332961608273453</v>
      </c>
      <c r="G27" s="73">
        <f t="shared" si="2"/>
        <v>-70346935</v>
      </c>
      <c r="H27" s="860">
        <f t="shared" si="3"/>
        <v>0.63774830896637313</v>
      </c>
    </row>
    <row r="28" spans="1:8" x14ac:dyDescent="0.2">
      <c r="A28" s="17" t="s">
        <v>1078</v>
      </c>
      <c r="B28" s="73"/>
      <c r="C28" s="73">
        <v>-58469991</v>
      </c>
      <c r="D28" s="73"/>
      <c r="E28" s="73">
        <f t="shared" si="0"/>
        <v>0</v>
      </c>
      <c r="F28" s="860"/>
      <c r="G28" s="73">
        <f t="shared" si="2"/>
        <v>58469991</v>
      </c>
      <c r="H28" s="860">
        <f t="shared" si="3"/>
        <v>-1</v>
      </c>
    </row>
    <row r="29" spans="1:8" x14ac:dyDescent="0.2">
      <c r="A29" s="23" t="s">
        <v>39</v>
      </c>
      <c r="B29" s="40">
        <v>-120647866</v>
      </c>
      <c r="C29" s="40">
        <v>-157634597</v>
      </c>
      <c r="D29" s="40">
        <v>-171115104</v>
      </c>
      <c r="E29" s="40">
        <f t="shared" si="0"/>
        <v>-50467238</v>
      </c>
      <c r="F29" s="638">
        <f t="shared" si="1"/>
        <v>0.41830195322310965</v>
      </c>
      <c r="G29" s="40">
        <f t="shared" si="2"/>
        <v>-13480507</v>
      </c>
      <c r="H29" s="638">
        <f t="shared" si="3"/>
        <v>8.5517438789151093E-2</v>
      </c>
    </row>
    <row r="30" spans="1:8" x14ac:dyDescent="0.2">
      <c r="A30" s="250"/>
      <c r="B30" s="859"/>
      <c r="C30" s="859"/>
      <c r="D30" s="859"/>
      <c r="E30" s="859"/>
      <c r="F30" s="860"/>
      <c r="G30" s="859"/>
      <c r="H30" s="860"/>
    </row>
    <row r="31" spans="1:8" x14ac:dyDescent="0.2">
      <c r="A31" s="74" t="s">
        <v>40</v>
      </c>
      <c r="B31" s="40">
        <v>74325529</v>
      </c>
      <c r="C31" s="40">
        <v>75342478</v>
      </c>
      <c r="D31" s="40">
        <v>97345608</v>
      </c>
      <c r="E31" s="40">
        <f t="shared" si="0"/>
        <v>23020079</v>
      </c>
      <c r="F31" s="638">
        <f t="shared" si="1"/>
        <v>0.3097196792235411</v>
      </c>
      <c r="G31" s="40">
        <f t="shared" si="2"/>
        <v>22003130</v>
      </c>
      <c r="H31" s="638">
        <f t="shared" si="3"/>
        <v>0.29204149616634589</v>
      </c>
    </row>
    <row r="32" spans="1:8" x14ac:dyDescent="0.2">
      <c r="A32" s="250" t="s">
        <v>159</v>
      </c>
      <c r="B32" s="73">
        <v>70000000</v>
      </c>
      <c r="C32" s="73">
        <v>70000000</v>
      </c>
      <c r="D32" s="73">
        <v>90000000</v>
      </c>
      <c r="E32" s="73">
        <f t="shared" si="0"/>
        <v>20000000</v>
      </c>
      <c r="F32" s="860">
        <f t="shared" si="1"/>
        <v>0.2857142857142857</v>
      </c>
      <c r="G32" s="73">
        <f t="shared" si="2"/>
        <v>20000000</v>
      </c>
      <c r="H32" s="860">
        <f t="shared" si="3"/>
        <v>0.2857142857142857</v>
      </c>
    </row>
    <row r="33" spans="1:8" x14ac:dyDescent="0.2">
      <c r="A33" s="250" t="s">
        <v>605</v>
      </c>
      <c r="B33" s="73">
        <v>4325529</v>
      </c>
      <c r="C33" s="73">
        <v>5342478</v>
      </c>
      <c r="D33" s="73">
        <v>7345608</v>
      </c>
      <c r="E33" s="73">
        <f t="shared" si="0"/>
        <v>3020079</v>
      </c>
      <c r="F33" s="860">
        <f t="shared" si="1"/>
        <v>0.69819876366566958</v>
      </c>
      <c r="G33" s="73">
        <f t="shared" si="2"/>
        <v>2003130</v>
      </c>
      <c r="H33" s="860">
        <f t="shared" si="3"/>
        <v>0.37494398666686135</v>
      </c>
    </row>
    <row r="34" spans="1:8" x14ac:dyDescent="0.2">
      <c r="A34" s="23" t="s">
        <v>41</v>
      </c>
      <c r="B34" s="40">
        <v>-20414115</v>
      </c>
      <c r="C34" s="40">
        <v>-53988115</v>
      </c>
      <c r="D34" s="40">
        <v>-17114426</v>
      </c>
      <c r="E34" s="40">
        <f t="shared" si="0"/>
        <v>3299689</v>
      </c>
      <c r="F34" s="638">
        <f t="shared" si="1"/>
        <v>-0.16163762181216282</v>
      </c>
      <c r="G34" s="40">
        <f t="shared" si="2"/>
        <v>36873689</v>
      </c>
      <c r="H34" s="638">
        <f t="shared" si="3"/>
        <v>-0.68299641504431119</v>
      </c>
    </row>
    <row r="35" spans="1:8" x14ac:dyDescent="0.2">
      <c r="A35" s="168" t="s">
        <v>470</v>
      </c>
      <c r="B35" s="73">
        <v>-19583179</v>
      </c>
      <c r="C35" s="73">
        <v>-19583179</v>
      </c>
      <c r="D35" s="73">
        <v>-16209156</v>
      </c>
      <c r="E35" s="73">
        <f t="shared" si="0"/>
        <v>3374023</v>
      </c>
      <c r="F35" s="860">
        <f t="shared" si="1"/>
        <v>-0.1722918939769687</v>
      </c>
      <c r="G35" s="73">
        <f t="shared" si="2"/>
        <v>3374023</v>
      </c>
      <c r="H35" s="860">
        <f t="shared" si="3"/>
        <v>-0.1722918939769687</v>
      </c>
    </row>
    <row r="36" spans="1:8" x14ac:dyDescent="0.2">
      <c r="A36" s="237" t="s">
        <v>606</v>
      </c>
      <c r="B36" s="73">
        <v>-830936</v>
      </c>
      <c r="C36" s="73">
        <v>-830936</v>
      </c>
      <c r="D36" s="73">
        <v>-905270</v>
      </c>
      <c r="E36" s="73">
        <f t="shared" si="0"/>
        <v>-74334</v>
      </c>
      <c r="F36" s="860">
        <f t="shared" si="1"/>
        <v>8.9458153215169395E-2</v>
      </c>
      <c r="G36" s="73">
        <f t="shared" si="2"/>
        <v>-74334</v>
      </c>
      <c r="H36" s="860">
        <f t="shared" si="3"/>
        <v>8.9458153215169395E-2</v>
      </c>
    </row>
    <row r="37" spans="1:8" x14ac:dyDescent="0.2">
      <c r="A37" s="859" t="s">
        <v>1079</v>
      </c>
      <c r="B37" s="73"/>
      <c r="C37" s="73">
        <v>-33574000</v>
      </c>
      <c r="D37" s="73"/>
      <c r="E37" s="73">
        <f t="shared" si="0"/>
        <v>0</v>
      </c>
      <c r="F37" s="860"/>
      <c r="G37" s="73">
        <f t="shared" si="2"/>
        <v>33574000</v>
      </c>
      <c r="H37" s="860">
        <f t="shared" si="3"/>
        <v>-1</v>
      </c>
    </row>
    <row r="38" spans="1:8" x14ac:dyDescent="0.2">
      <c r="A38" s="23" t="s">
        <v>42</v>
      </c>
      <c r="B38" s="40">
        <v>53911414</v>
      </c>
      <c r="C38" s="40">
        <v>21354363</v>
      </c>
      <c r="D38" s="40">
        <v>80231182</v>
      </c>
      <c r="E38" s="40">
        <f t="shared" si="0"/>
        <v>26319768</v>
      </c>
      <c r="F38" s="638">
        <f t="shared" si="1"/>
        <v>0.48820400073349957</v>
      </c>
      <c r="G38" s="40">
        <f t="shared" si="2"/>
        <v>58876819</v>
      </c>
      <c r="H38" s="638">
        <f t="shared" si="3"/>
        <v>2.757133003686413</v>
      </c>
    </row>
    <row r="39" spans="1:8" s="56" customFormat="1" x14ac:dyDescent="0.2">
      <c r="A39" s="250"/>
      <c r="B39" s="859"/>
      <c r="C39" s="859"/>
      <c r="D39" s="859"/>
      <c r="E39" s="859"/>
      <c r="F39" s="860"/>
      <c r="G39" s="859"/>
      <c r="H39" s="860"/>
    </row>
    <row r="40" spans="1:8" s="56" customFormat="1" x14ac:dyDescent="0.2">
      <c r="A40" s="74" t="s">
        <v>43</v>
      </c>
      <c r="B40" s="40">
        <v>839777685</v>
      </c>
      <c r="C40" s="40">
        <v>866147586</v>
      </c>
      <c r="D40" s="40">
        <v>966086149</v>
      </c>
      <c r="E40" s="40">
        <f t="shared" si="0"/>
        <v>126308464</v>
      </c>
      <c r="F40" s="638">
        <f t="shared" si="1"/>
        <v>0.15040702587852164</v>
      </c>
      <c r="G40" s="40">
        <f t="shared" si="2"/>
        <v>99938563</v>
      </c>
      <c r="H40" s="638">
        <f t="shared" si="3"/>
        <v>0.11538283384420817</v>
      </c>
    </row>
    <row r="41" spans="1:8" x14ac:dyDescent="0.2">
      <c r="A41" s="74" t="s">
        <v>44</v>
      </c>
      <c r="B41" s="40">
        <v>-862104917</v>
      </c>
      <c r="C41" s="40">
        <v>-956314462</v>
      </c>
      <c r="D41" s="40">
        <v>-1032846533</v>
      </c>
      <c r="E41" s="40">
        <f t="shared" si="0"/>
        <v>-170741616</v>
      </c>
      <c r="F41" s="638">
        <f t="shared" si="1"/>
        <v>0.19805201505421874</v>
      </c>
      <c r="G41" s="40">
        <f t="shared" si="2"/>
        <v>-76532071</v>
      </c>
      <c r="H41" s="638">
        <f t="shared" si="3"/>
        <v>8.0028143504118632E-2</v>
      </c>
    </row>
    <row r="42" spans="1:8" x14ac:dyDescent="0.2">
      <c r="A42" s="725"/>
      <c r="B42" s="40"/>
      <c r="D42" s="56"/>
    </row>
    <row r="43" spans="1:8" x14ac:dyDescent="0.2">
      <c r="A43" s="42"/>
      <c r="B43" s="40"/>
    </row>
    <row r="44" spans="1:8" x14ac:dyDescent="0.2">
      <c r="A44" s="42"/>
      <c r="B44" s="40"/>
    </row>
    <row r="45" spans="1:8" x14ac:dyDescent="0.2">
      <c r="A45" s="42"/>
      <c r="B45" s="40"/>
    </row>
    <row r="46" spans="1:8" x14ac:dyDescent="0.2">
      <c r="A46" s="17"/>
    </row>
    <row r="47" spans="1:8" x14ac:dyDescent="0.2">
      <c r="A47" s="17"/>
    </row>
  </sheetData>
  <mergeCells count="3">
    <mergeCell ref="E3:F3"/>
    <mergeCell ref="G3:H3"/>
    <mergeCell ref="B3:C3"/>
  </mergeCells>
  <phoneticPr fontId="37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tabColor theme="9" tint="0.79998168889431442"/>
  </sheetPr>
  <dimension ref="A1:J52"/>
  <sheetViews>
    <sheetView showZeros="0" zoomScaleNormal="100" workbookViewId="0">
      <pane ySplit="3" topLeftCell="A4" activePane="bottomLeft" state="frozen"/>
      <selection activeCell="F35" sqref="F35"/>
      <selection pane="bottomLeft"/>
    </sheetView>
  </sheetViews>
  <sheetFormatPr defaultColWidth="9.140625" defaultRowHeight="12.75" x14ac:dyDescent="0.2"/>
  <cols>
    <col min="1" max="1" width="49.5703125" style="486" customWidth="1"/>
    <col min="2" max="2" width="13.140625" style="17" customWidth="1"/>
    <col min="3" max="4" width="10.5703125" style="486" hidden="1" customWidth="1"/>
    <col min="5" max="5" width="11.5703125" style="17" bestFit="1" customWidth="1"/>
    <col min="6" max="10" width="11.5703125" style="486" bestFit="1" customWidth="1"/>
    <col min="11" max="16384" width="9.140625" style="486"/>
  </cols>
  <sheetData>
    <row r="1" spans="1:10" ht="30" customHeight="1" x14ac:dyDescent="0.25">
      <c r="A1" s="641" t="s">
        <v>141</v>
      </c>
    </row>
    <row r="2" spans="1:10" ht="27" customHeight="1" x14ac:dyDescent="0.25">
      <c r="A2" s="641"/>
      <c r="B2" s="1000">
        <v>2021</v>
      </c>
      <c r="C2" s="1001"/>
      <c r="D2" s="1001"/>
      <c r="E2" s="1002"/>
      <c r="F2" s="807">
        <v>2022</v>
      </c>
      <c r="G2" s="998" t="s">
        <v>1075</v>
      </c>
      <c r="H2" s="999"/>
      <c r="I2" s="996" t="s">
        <v>1076</v>
      </c>
      <c r="J2" s="997"/>
    </row>
    <row r="3" spans="1:10" ht="32.25" customHeight="1" x14ac:dyDescent="0.2">
      <c r="A3" s="642"/>
      <c r="B3" s="813" t="s">
        <v>859</v>
      </c>
      <c r="C3" s="813" t="s">
        <v>984</v>
      </c>
      <c r="D3" s="813" t="s">
        <v>1066</v>
      </c>
      <c r="E3" s="813" t="s">
        <v>860</v>
      </c>
      <c r="F3" s="808" t="s">
        <v>1074</v>
      </c>
      <c r="G3" s="809" t="s">
        <v>53</v>
      </c>
      <c r="H3" s="810" t="s">
        <v>981</v>
      </c>
      <c r="I3" s="811" t="s">
        <v>53</v>
      </c>
      <c r="J3" s="812" t="s">
        <v>981</v>
      </c>
    </row>
    <row r="4" spans="1:10" ht="25.5" customHeight="1" x14ac:dyDescent="0.2">
      <c r="A4" s="122" t="s">
        <v>6</v>
      </c>
      <c r="B4" s="643">
        <f>SUM(B6:B9)</f>
        <v>750202236</v>
      </c>
      <c r="C4" s="643">
        <f>SUM(C6:C9)</f>
        <v>10370405</v>
      </c>
      <c r="D4" s="643">
        <f>SUM(D6:D9)</f>
        <v>4845300</v>
      </c>
      <c r="E4" s="643">
        <f>B4+C4+D4</f>
        <v>765417941</v>
      </c>
      <c r="F4" s="643">
        <f>SUM(F6:F9)</f>
        <v>831661746</v>
      </c>
      <c r="G4" s="643">
        <f t="shared" ref="G4:G40" si="0">F4-B4</f>
        <v>81459510</v>
      </c>
      <c r="H4" s="770">
        <f>G4/B4</f>
        <v>0.10858340070316719</v>
      </c>
      <c r="I4" s="643">
        <f t="shared" ref="I4:I40" si="1">F4-E4</f>
        <v>66243805</v>
      </c>
      <c r="J4" s="770">
        <f t="shared" ref="J4:J40" si="2">IF(F4=0,"",I4/E4)</f>
        <v>8.6545926678245969E-2</v>
      </c>
    </row>
    <row r="5" spans="1:10" x14ac:dyDescent="0.2">
      <c r="A5" s="58"/>
      <c r="B5" s="58"/>
      <c r="C5" s="58"/>
      <c r="D5" s="58"/>
      <c r="E5" s="58">
        <f t="shared" ref="E5:E40" si="3">B5+C5+D5</f>
        <v>0</v>
      </c>
      <c r="F5" s="58"/>
      <c r="G5" s="58">
        <f t="shared" si="0"/>
        <v>0</v>
      </c>
      <c r="H5" s="771"/>
      <c r="I5" s="58">
        <f t="shared" si="1"/>
        <v>0</v>
      </c>
      <c r="J5" s="771" t="str">
        <f t="shared" si="2"/>
        <v/>
      </c>
    </row>
    <row r="6" spans="1:10" x14ac:dyDescent="0.2">
      <c r="A6" s="58" t="s">
        <v>7</v>
      </c>
      <c r="B6" s="605">
        <v>520248536</v>
      </c>
      <c r="C6" s="605">
        <v>9700000</v>
      </c>
      <c r="D6" s="605">
        <f>4200000</f>
        <v>4200000</v>
      </c>
      <c r="E6" s="605">
        <f t="shared" si="3"/>
        <v>534148536</v>
      </c>
      <c r="F6" s="605">
        <v>593370000</v>
      </c>
      <c r="G6" s="605">
        <f t="shared" si="0"/>
        <v>73121464</v>
      </c>
      <c r="H6" s="771">
        <f>G6/B6</f>
        <v>0.14055102309792949</v>
      </c>
      <c r="I6" s="605">
        <f t="shared" si="1"/>
        <v>59221464</v>
      </c>
      <c r="J6" s="771">
        <f t="shared" si="2"/>
        <v>0.11087077846076883</v>
      </c>
    </row>
    <row r="7" spans="1:10" x14ac:dyDescent="0.2">
      <c r="A7" s="58" t="s">
        <v>8</v>
      </c>
      <c r="B7" s="605">
        <v>90213998</v>
      </c>
      <c r="C7" s="605">
        <v>-6118096</v>
      </c>
      <c r="D7" s="605">
        <v>-1044134</v>
      </c>
      <c r="E7" s="605">
        <f t="shared" si="3"/>
        <v>83051768</v>
      </c>
      <c r="F7" s="605">
        <v>90630063</v>
      </c>
      <c r="G7" s="605">
        <f t="shared" si="0"/>
        <v>416065</v>
      </c>
      <c r="H7" s="771">
        <f>G7/B7</f>
        <v>4.6119782874493604E-3</v>
      </c>
      <c r="I7" s="605">
        <f t="shared" si="1"/>
        <v>7578295</v>
      </c>
      <c r="J7" s="771">
        <f t="shared" si="2"/>
        <v>9.1247846764682963E-2</v>
      </c>
    </row>
    <row r="8" spans="1:10" x14ac:dyDescent="0.2">
      <c r="A8" s="58" t="s">
        <v>9</v>
      </c>
      <c r="B8" s="605">
        <v>138337202</v>
      </c>
      <c r="C8" s="605">
        <v>6578655</v>
      </c>
      <c r="D8" s="605">
        <v>666601</v>
      </c>
      <c r="E8" s="605">
        <f t="shared" si="3"/>
        <v>145582458</v>
      </c>
      <c r="F8" s="605">
        <v>146291083</v>
      </c>
      <c r="G8" s="605">
        <f t="shared" si="0"/>
        <v>7953881</v>
      </c>
      <c r="H8" s="771">
        <f>G8/B8</f>
        <v>5.7496326982238659E-2</v>
      </c>
      <c r="I8" s="605">
        <f t="shared" si="1"/>
        <v>708625</v>
      </c>
      <c r="J8" s="771">
        <f t="shared" si="2"/>
        <v>4.8675163871735152E-3</v>
      </c>
    </row>
    <row r="9" spans="1:10" x14ac:dyDescent="0.2">
      <c r="A9" s="58" t="s">
        <v>10</v>
      </c>
      <c r="B9" s="605">
        <v>1402500</v>
      </c>
      <c r="C9" s="605">
        <v>209846</v>
      </c>
      <c r="D9" s="605">
        <v>1022833</v>
      </c>
      <c r="E9" s="605">
        <f t="shared" si="3"/>
        <v>2635179</v>
      </c>
      <c r="F9" s="605">
        <v>1370600</v>
      </c>
      <c r="G9" s="605">
        <f t="shared" si="0"/>
        <v>-31900</v>
      </c>
      <c r="H9" s="771">
        <f>G9/B9</f>
        <v>-2.2745098039215685E-2</v>
      </c>
      <c r="I9" s="605">
        <f t="shared" si="1"/>
        <v>-1264579</v>
      </c>
      <c r="J9" s="771">
        <f t="shared" si="2"/>
        <v>-0.47988352973365378</v>
      </c>
    </row>
    <row r="10" spans="1:10" x14ac:dyDescent="0.2">
      <c r="A10" s="58"/>
      <c r="B10" s="58"/>
      <c r="C10" s="58"/>
      <c r="D10" s="58"/>
      <c r="E10" s="58">
        <f t="shared" si="3"/>
        <v>0</v>
      </c>
      <c r="F10" s="58"/>
      <c r="G10" s="58">
        <f t="shared" si="0"/>
        <v>0</v>
      </c>
      <c r="H10" s="771"/>
      <c r="I10" s="58">
        <f t="shared" si="1"/>
        <v>0</v>
      </c>
      <c r="J10" s="771" t="str">
        <f t="shared" si="2"/>
        <v/>
      </c>
    </row>
    <row r="11" spans="1:10" x14ac:dyDescent="0.2">
      <c r="A11" s="122" t="s">
        <v>11</v>
      </c>
      <c r="B11" s="643">
        <f>B13+B14+B15</f>
        <v>672541903</v>
      </c>
      <c r="C11" s="643">
        <f>C13+C14+C15</f>
        <v>20002951</v>
      </c>
      <c r="D11" s="643">
        <v>9062895</v>
      </c>
      <c r="E11" s="643">
        <f t="shared" si="3"/>
        <v>701607749</v>
      </c>
      <c r="F11" s="643">
        <f>F13+F14+F15</f>
        <v>747512092</v>
      </c>
      <c r="G11" s="643">
        <f t="shared" si="0"/>
        <v>74970189</v>
      </c>
      <c r="H11" s="770">
        <f>G11/B11</f>
        <v>0.11147288914725065</v>
      </c>
      <c r="I11" s="643">
        <f t="shared" si="1"/>
        <v>45904343</v>
      </c>
      <c r="J11" s="770">
        <f t="shared" si="2"/>
        <v>6.5427360324094713E-2</v>
      </c>
    </row>
    <row r="12" spans="1:10" x14ac:dyDescent="0.2">
      <c r="A12" s="58"/>
      <c r="B12" s="605"/>
      <c r="C12" s="58"/>
      <c r="D12" s="58"/>
      <c r="E12" s="605"/>
      <c r="F12" s="58"/>
      <c r="G12" s="58">
        <f t="shared" si="0"/>
        <v>0</v>
      </c>
      <c r="H12" s="771"/>
      <c r="I12" s="58">
        <f t="shared" si="1"/>
        <v>0</v>
      </c>
      <c r="J12" s="771" t="str">
        <f t="shared" si="2"/>
        <v/>
      </c>
    </row>
    <row r="13" spans="1:10" x14ac:dyDescent="0.2">
      <c r="A13" s="58" t="s">
        <v>12</v>
      </c>
      <c r="B13" s="605">
        <v>119347285</v>
      </c>
      <c r="C13" s="605">
        <v>3890241</v>
      </c>
      <c r="D13" s="605">
        <v>1687506</v>
      </c>
      <c r="E13" s="605">
        <f t="shared" si="3"/>
        <v>124925032</v>
      </c>
      <c r="F13" s="605">
        <v>136551897</v>
      </c>
      <c r="G13" s="605">
        <f t="shared" si="0"/>
        <v>17204612</v>
      </c>
      <c r="H13" s="771">
        <f>G13/B13</f>
        <v>0.14415587250267151</v>
      </c>
      <c r="I13" s="605">
        <f t="shared" si="1"/>
        <v>11626865</v>
      </c>
      <c r="J13" s="771">
        <f t="shared" si="2"/>
        <v>9.3070738617061152E-2</v>
      </c>
    </row>
    <row r="14" spans="1:10" x14ac:dyDescent="0.2">
      <c r="A14" s="58" t="s">
        <v>13</v>
      </c>
      <c r="B14" s="605">
        <v>547630118</v>
      </c>
      <c r="C14" s="605">
        <v>16180649</v>
      </c>
      <c r="D14" s="605">
        <v>5466712</v>
      </c>
      <c r="E14" s="605">
        <f t="shared" si="3"/>
        <v>569277479</v>
      </c>
      <c r="F14" s="605">
        <v>603845695</v>
      </c>
      <c r="G14" s="605">
        <f t="shared" si="0"/>
        <v>56215577</v>
      </c>
      <c r="H14" s="771">
        <f>G14/B14</f>
        <v>0.10265245674453573</v>
      </c>
      <c r="I14" s="605">
        <f t="shared" si="1"/>
        <v>34568216</v>
      </c>
      <c r="J14" s="771">
        <f t="shared" si="2"/>
        <v>6.0722964240080189E-2</v>
      </c>
    </row>
    <row r="15" spans="1:10" x14ac:dyDescent="0.2">
      <c r="A15" s="58" t="s">
        <v>121</v>
      </c>
      <c r="B15" s="605">
        <v>5564500</v>
      </c>
      <c r="C15" s="605">
        <v>-67939</v>
      </c>
      <c r="D15" s="605">
        <v>1908677</v>
      </c>
      <c r="E15" s="605">
        <f t="shared" si="3"/>
        <v>7405238</v>
      </c>
      <c r="F15" s="605">
        <v>7114500</v>
      </c>
      <c r="G15" s="605">
        <f t="shared" si="0"/>
        <v>1550000</v>
      </c>
      <c r="H15" s="771">
        <f>G15/B15</f>
        <v>0.2785515320334262</v>
      </c>
      <c r="I15" s="605">
        <f t="shared" si="1"/>
        <v>-290738</v>
      </c>
      <c r="J15" s="771">
        <f t="shared" si="2"/>
        <v>-3.9261128406676463E-2</v>
      </c>
    </row>
    <row r="16" spans="1:10" x14ac:dyDescent="0.2">
      <c r="A16" s="58"/>
      <c r="B16" s="58"/>
      <c r="C16" s="58"/>
      <c r="D16" s="58"/>
      <c r="E16" s="58">
        <f t="shared" si="3"/>
        <v>0</v>
      </c>
      <c r="F16" s="58"/>
      <c r="G16" s="58">
        <f t="shared" si="0"/>
        <v>0</v>
      </c>
      <c r="H16" s="771"/>
      <c r="I16" s="58">
        <f t="shared" si="1"/>
        <v>0</v>
      </c>
      <c r="J16" s="771" t="str">
        <f t="shared" si="2"/>
        <v/>
      </c>
    </row>
    <row r="17" spans="1:10" x14ac:dyDescent="0.2">
      <c r="A17" s="58" t="s">
        <v>14</v>
      </c>
      <c r="B17" s="605">
        <f>B4-B11</f>
        <v>77660333</v>
      </c>
      <c r="C17" s="605">
        <f>C4-C11</f>
        <v>-9632546</v>
      </c>
      <c r="D17" s="605">
        <v>-4217595</v>
      </c>
      <c r="E17" s="605">
        <f t="shared" si="3"/>
        <v>63810192</v>
      </c>
      <c r="F17" s="605">
        <f>F4-F11</f>
        <v>84149654</v>
      </c>
      <c r="G17" s="605">
        <f t="shared" si="0"/>
        <v>6489321</v>
      </c>
      <c r="H17" s="771">
        <f>G17/B17</f>
        <v>8.3560303559347349E-2</v>
      </c>
      <c r="I17" s="605">
        <f t="shared" si="1"/>
        <v>20339462</v>
      </c>
      <c r="J17" s="771">
        <f t="shared" si="2"/>
        <v>0.31874942485676894</v>
      </c>
    </row>
    <row r="18" spans="1:10" x14ac:dyDescent="0.2">
      <c r="A18" s="58"/>
      <c r="B18" s="58"/>
      <c r="C18" s="58"/>
      <c r="D18" s="58"/>
      <c r="E18" s="58">
        <f t="shared" si="3"/>
        <v>0</v>
      </c>
      <c r="F18" s="58"/>
      <c r="G18" s="58">
        <f t="shared" si="0"/>
        <v>0</v>
      </c>
      <c r="H18" s="771"/>
      <c r="I18" s="58">
        <f t="shared" si="1"/>
        <v>0</v>
      </c>
      <c r="J18" s="771" t="str">
        <f t="shared" si="2"/>
        <v/>
      </c>
    </row>
    <row r="19" spans="1:10" x14ac:dyDescent="0.2">
      <c r="A19" s="122" t="s">
        <v>15</v>
      </c>
      <c r="B19" s="643">
        <f>B21-B22+B23-B24+B29-B30-B27+B28</f>
        <v>-149560950</v>
      </c>
      <c r="C19" s="643">
        <f>C21-C22+C23-C24+C29-C30-C27+C28-C25</f>
        <v>-75369801</v>
      </c>
      <c r="D19" s="643">
        <f>D21-D22+D23-D24+D29-D30-D27+D28-D25+D26</f>
        <v>21382733</v>
      </c>
      <c r="E19" s="643">
        <f t="shared" si="3"/>
        <v>-203548018</v>
      </c>
      <c r="F19" s="643">
        <f>F21-F22+F23-F24+F29-F30-F27+F28</f>
        <v>-223783112</v>
      </c>
      <c r="G19" s="643">
        <f t="shared" si="0"/>
        <v>-74222162</v>
      </c>
      <c r="H19" s="770">
        <f>G19/B19</f>
        <v>0.49626698680370779</v>
      </c>
      <c r="I19" s="643">
        <f t="shared" si="1"/>
        <v>-20235094</v>
      </c>
      <c r="J19" s="770">
        <f t="shared" si="2"/>
        <v>9.9411894052439262E-2</v>
      </c>
    </row>
    <row r="20" spans="1:10" x14ac:dyDescent="0.2">
      <c r="A20" s="58"/>
      <c r="B20" s="58"/>
      <c r="C20" s="58"/>
      <c r="D20" s="58"/>
      <c r="E20" s="58">
        <f t="shared" si="3"/>
        <v>0</v>
      </c>
      <c r="F20" s="58"/>
      <c r="G20" s="58">
        <f t="shared" si="0"/>
        <v>0</v>
      </c>
      <c r="H20" s="771"/>
      <c r="I20" s="58">
        <f t="shared" si="1"/>
        <v>0</v>
      </c>
      <c r="J20" s="771" t="str">
        <f t="shared" si="2"/>
        <v/>
      </c>
    </row>
    <row r="21" spans="1:10" x14ac:dyDescent="0.2">
      <c r="A21" s="58" t="s">
        <v>16</v>
      </c>
      <c r="B21" s="605">
        <v>925100</v>
      </c>
      <c r="C21" s="605">
        <v>6085</v>
      </c>
      <c r="D21" s="605"/>
      <c r="E21" s="605">
        <f t="shared" si="3"/>
        <v>931185</v>
      </c>
      <c r="F21" s="605">
        <v>640000</v>
      </c>
      <c r="G21" s="605">
        <f t="shared" si="0"/>
        <v>-285100</v>
      </c>
      <c r="H21" s="771">
        <f>G21/B21</f>
        <v>-0.30818289914603825</v>
      </c>
      <c r="I21" s="605">
        <f t="shared" si="1"/>
        <v>-291185</v>
      </c>
      <c r="J21" s="771">
        <f t="shared" si="2"/>
        <v>-0.31270370549353782</v>
      </c>
    </row>
    <row r="22" spans="1:10" x14ac:dyDescent="0.2">
      <c r="A22" s="58" t="s">
        <v>17</v>
      </c>
      <c r="B22" s="605">
        <v>159156295</v>
      </c>
      <c r="C22" s="605">
        <v>-5609383</v>
      </c>
      <c r="D22" s="605">
        <v>-20812470</v>
      </c>
      <c r="E22" s="605">
        <f t="shared" si="3"/>
        <v>132734442</v>
      </c>
      <c r="F22" s="605">
        <v>218815130</v>
      </c>
      <c r="G22" s="605">
        <f t="shared" si="0"/>
        <v>59658835</v>
      </c>
      <c r="H22" s="771">
        <f>G22/B22</f>
        <v>0.37484433147931723</v>
      </c>
      <c r="I22" s="605">
        <f t="shared" si="1"/>
        <v>86080688</v>
      </c>
      <c r="J22" s="771">
        <f t="shared" si="2"/>
        <v>0.64851809901758584</v>
      </c>
    </row>
    <row r="23" spans="1:10" x14ac:dyDescent="0.2">
      <c r="A23" s="58" t="s">
        <v>18</v>
      </c>
      <c r="B23" s="605">
        <v>6266820</v>
      </c>
      <c r="C23" s="605">
        <v>8737288</v>
      </c>
      <c r="D23" s="605">
        <v>-2183589</v>
      </c>
      <c r="E23" s="605">
        <f t="shared" si="3"/>
        <v>12820519</v>
      </c>
      <c r="F23" s="605">
        <v>27541795</v>
      </c>
      <c r="G23" s="605">
        <f t="shared" si="0"/>
        <v>21274975</v>
      </c>
      <c r="H23" s="771">
        <f>G23/B23</f>
        <v>3.394859753431565</v>
      </c>
      <c r="I23" s="605">
        <f t="shared" si="1"/>
        <v>14721276</v>
      </c>
      <c r="J23" s="771">
        <f t="shared" si="2"/>
        <v>1.1482589745391742</v>
      </c>
    </row>
    <row r="24" spans="1:10" x14ac:dyDescent="0.2">
      <c r="A24" s="58" t="s">
        <v>19</v>
      </c>
      <c r="B24" s="605">
        <v>4004834</v>
      </c>
      <c r="C24" s="605">
        <v>478621</v>
      </c>
      <c r="D24" s="605">
        <v>-2379495</v>
      </c>
      <c r="E24" s="605">
        <f t="shared" si="3"/>
        <v>2103960</v>
      </c>
      <c r="F24" s="605">
        <v>43231551</v>
      </c>
      <c r="G24" s="605">
        <f t="shared" si="0"/>
        <v>39226717</v>
      </c>
      <c r="H24" s="771">
        <f>G24/B24</f>
        <v>9.7948421832215775</v>
      </c>
      <c r="I24" s="605">
        <f t="shared" si="1"/>
        <v>41127591</v>
      </c>
      <c r="J24" s="771">
        <f t="shared" si="2"/>
        <v>19.54770575486226</v>
      </c>
    </row>
    <row r="25" spans="1:10" x14ac:dyDescent="0.2">
      <c r="A25" s="17" t="s">
        <v>991</v>
      </c>
      <c r="B25" s="605"/>
      <c r="C25" s="605">
        <v>57827399</v>
      </c>
      <c r="D25" s="605">
        <v>693225</v>
      </c>
      <c r="E25" s="605">
        <f t="shared" si="3"/>
        <v>58520624</v>
      </c>
      <c r="F25" s="605"/>
      <c r="G25" s="605">
        <f t="shared" si="0"/>
        <v>0</v>
      </c>
      <c r="H25" s="771"/>
      <c r="I25" s="605">
        <f t="shared" si="1"/>
        <v>-58520624</v>
      </c>
      <c r="J25" s="771" t="str">
        <f t="shared" si="2"/>
        <v/>
      </c>
    </row>
    <row r="26" spans="1:10" x14ac:dyDescent="0.2">
      <c r="A26" s="17" t="s">
        <v>1025</v>
      </c>
      <c r="B26" s="605"/>
      <c r="C26" s="605"/>
      <c r="D26" s="605">
        <v>50633</v>
      </c>
      <c r="E26" s="605">
        <f t="shared" si="3"/>
        <v>50633</v>
      </c>
      <c r="F26" s="605"/>
      <c r="G26" s="605">
        <f t="shared" si="0"/>
        <v>0</v>
      </c>
      <c r="H26" s="771"/>
      <c r="I26" s="605">
        <f t="shared" si="1"/>
        <v>-50633</v>
      </c>
      <c r="J26" s="771" t="str">
        <f t="shared" si="2"/>
        <v/>
      </c>
    </row>
    <row r="27" spans="1:10" x14ac:dyDescent="0.2">
      <c r="A27" s="58" t="s">
        <v>577</v>
      </c>
      <c r="B27" s="605">
        <v>0</v>
      </c>
      <c r="C27" s="605">
        <v>33574000</v>
      </c>
      <c r="D27" s="605">
        <v>0</v>
      </c>
      <c r="E27" s="605">
        <f t="shared" si="3"/>
        <v>33574000</v>
      </c>
      <c r="F27" s="605"/>
      <c r="G27" s="605">
        <f t="shared" si="0"/>
        <v>0</v>
      </c>
      <c r="H27" s="771"/>
      <c r="I27" s="605">
        <f t="shared" si="1"/>
        <v>-33574000</v>
      </c>
      <c r="J27" s="771" t="str">
        <f t="shared" si="2"/>
        <v/>
      </c>
    </row>
    <row r="28" spans="1:10" x14ac:dyDescent="0.2">
      <c r="A28" s="58" t="s">
        <v>578</v>
      </c>
      <c r="B28" s="605">
        <v>4338029</v>
      </c>
      <c r="C28" s="605">
        <v>0</v>
      </c>
      <c r="D28" s="605">
        <v>1016949</v>
      </c>
      <c r="E28" s="605">
        <f t="shared" si="3"/>
        <v>5354978</v>
      </c>
      <c r="F28" s="605">
        <v>7358108</v>
      </c>
      <c r="G28" s="605">
        <f t="shared" si="0"/>
        <v>3020079</v>
      </c>
      <c r="H28" s="771">
        <f>G28/B28</f>
        <v>0.69618690884731294</v>
      </c>
      <c r="I28" s="605">
        <f t="shared" si="1"/>
        <v>2003130</v>
      </c>
      <c r="J28" s="771">
        <f t="shared" si="2"/>
        <v>0.37406876368119535</v>
      </c>
    </row>
    <row r="29" spans="1:10" x14ac:dyDescent="0.2">
      <c r="A29" s="58" t="s">
        <v>20</v>
      </c>
      <c r="B29" s="605">
        <v>8058000</v>
      </c>
      <c r="C29" s="605">
        <v>2157463</v>
      </c>
      <c r="D29" s="605"/>
      <c r="E29" s="605">
        <f t="shared" si="3"/>
        <v>10215463</v>
      </c>
      <c r="F29" s="605">
        <v>8897000</v>
      </c>
      <c r="G29" s="605">
        <f t="shared" si="0"/>
        <v>839000</v>
      </c>
      <c r="H29" s="771">
        <f>G29/B29</f>
        <v>0.10412012906428394</v>
      </c>
      <c r="I29" s="605">
        <f t="shared" si="1"/>
        <v>-1318463</v>
      </c>
      <c r="J29" s="771">
        <f t="shared" si="2"/>
        <v>-0.12906541778869934</v>
      </c>
    </row>
    <row r="30" spans="1:10" x14ac:dyDescent="0.2">
      <c r="A30" s="58" t="s">
        <v>21</v>
      </c>
      <c r="B30" s="605">
        <v>5987770</v>
      </c>
      <c r="C30" s="605">
        <v>0</v>
      </c>
      <c r="D30" s="605"/>
      <c r="E30" s="605">
        <f t="shared" si="3"/>
        <v>5987770</v>
      </c>
      <c r="F30" s="605">
        <v>6173334</v>
      </c>
      <c r="G30" s="605">
        <f t="shared" si="0"/>
        <v>185564</v>
      </c>
      <c r="H30" s="771">
        <f>G30/B30</f>
        <v>3.099050230720285E-2</v>
      </c>
      <c r="I30" s="605">
        <f t="shared" si="1"/>
        <v>185564</v>
      </c>
      <c r="J30" s="771">
        <f t="shared" si="2"/>
        <v>3.099050230720285E-2</v>
      </c>
    </row>
    <row r="31" spans="1:10" x14ac:dyDescent="0.2">
      <c r="A31" s="58"/>
      <c r="B31" s="58"/>
      <c r="C31" s="58"/>
      <c r="D31" s="58"/>
      <c r="E31" s="58">
        <f t="shared" si="3"/>
        <v>0</v>
      </c>
      <c r="F31" s="58"/>
      <c r="G31" s="58">
        <f t="shared" si="0"/>
        <v>0</v>
      </c>
      <c r="H31" s="771"/>
      <c r="I31" s="58">
        <f t="shared" si="1"/>
        <v>0</v>
      </c>
      <c r="J31" s="771" t="str">
        <f t="shared" si="2"/>
        <v/>
      </c>
    </row>
    <row r="32" spans="1:10" x14ac:dyDescent="0.2">
      <c r="A32" s="58" t="s">
        <v>22</v>
      </c>
      <c r="B32" s="605">
        <f>B17+B19</f>
        <v>-71900617</v>
      </c>
      <c r="C32" s="605">
        <f>C17+C19</f>
        <v>-85002347</v>
      </c>
      <c r="D32" s="605">
        <v>17165138</v>
      </c>
      <c r="E32" s="605">
        <f t="shared" si="3"/>
        <v>-139737826</v>
      </c>
      <c r="F32" s="605">
        <f>F17+F19</f>
        <v>-139633458</v>
      </c>
      <c r="G32" s="605">
        <f t="shared" si="0"/>
        <v>-67732841</v>
      </c>
      <c r="H32" s="771">
        <f>G32/B32</f>
        <v>0.94203421091643758</v>
      </c>
      <c r="I32" s="605">
        <f t="shared" si="1"/>
        <v>104368</v>
      </c>
      <c r="J32" s="771">
        <f t="shared" si="2"/>
        <v>-7.4688438333082407E-4</v>
      </c>
    </row>
    <row r="33" spans="1:10" x14ac:dyDescent="0.2">
      <c r="A33" s="58"/>
      <c r="B33" s="58"/>
      <c r="C33" s="58"/>
      <c r="D33" s="58"/>
      <c r="E33" s="58">
        <f t="shared" si="3"/>
        <v>0</v>
      </c>
      <c r="F33" s="58"/>
      <c r="G33" s="58">
        <f t="shared" si="0"/>
        <v>0</v>
      </c>
      <c r="H33" s="771"/>
      <c r="I33" s="58">
        <f t="shared" si="1"/>
        <v>0</v>
      </c>
      <c r="J33" s="771" t="str">
        <f t="shared" si="2"/>
        <v/>
      </c>
    </row>
    <row r="34" spans="1:10" x14ac:dyDescent="0.2">
      <c r="A34" s="122" t="s">
        <v>23</v>
      </c>
      <c r="B34" s="643">
        <f>B36-B37</f>
        <v>49619705</v>
      </c>
      <c r="C34" s="643">
        <f>C36-C37</f>
        <v>-5952</v>
      </c>
      <c r="D34" s="643"/>
      <c r="E34" s="643">
        <f t="shared" si="3"/>
        <v>49613753</v>
      </c>
      <c r="F34" s="643">
        <f>F36-F37</f>
        <v>72961442</v>
      </c>
      <c r="G34" s="643">
        <f t="shared" si="0"/>
        <v>23341737</v>
      </c>
      <c r="H34" s="770">
        <f>G34/B34</f>
        <v>0.47041265158670331</v>
      </c>
      <c r="I34" s="643">
        <f t="shared" si="1"/>
        <v>23347689</v>
      </c>
      <c r="J34" s="770">
        <f t="shared" si="2"/>
        <v>0.47058905219284664</v>
      </c>
    </row>
    <row r="35" spans="1:10" x14ac:dyDescent="0.2">
      <c r="A35" s="58"/>
      <c r="B35" s="58"/>
      <c r="C35" s="58"/>
      <c r="D35" s="58"/>
      <c r="E35" s="58">
        <f t="shared" si="3"/>
        <v>0</v>
      </c>
      <c r="F35" s="58"/>
      <c r="G35" s="58">
        <f t="shared" si="0"/>
        <v>0</v>
      </c>
      <c r="H35" s="771"/>
      <c r="I35" s="58">
        <f t="shared" si="1"/>
        <v>0</v>
      </c>
      <c r="J35" s="771" t="str">
        <f t="shared" si="2"/>
        <v/>
      </c>
    </row>
    <row r="36" spans="1:10" x14ac:dyDescent="0.2">
      <c r="A36" s="58" t="s">
        <v>24</v>
      </c>
      <c r="B36" s="605">
        <v>70202800</v>
      </c>
      <c r="C36" s="605">
        <v>-7440</v>
      </c>
      <c r="D36" s="605"/>
      <c r="E36" s="605">
        <f t="shared" si="3"/>
        <v>70195360</v>
      </c>
      <c r="F36" s="605">
        <v>90304200</v>
      </c>
      <c r="G36" s="605">
        <f t="shared" si="0"/>
        <v>20101400</v>
      </c>
      <c r="H36" s="771">
        <f>G36/B36</f>
        <v>0.28633330864296008</v>
      </c>
      <c r="I36" s="605">
        <f t="shared" si="1"/>
        <v>20108840</v>
      </c>
      <c r="J36" s="771">
        <f t="shared" si="2"/>
        <v>0.28646964699661059</v>
      </c>
    </row>
    <row r="37" spans="1:10" x14ac:dyDescent="0.2">
      <c r="A37" s="58" t="s">
        <v>25</v>
      </c>
      <c r="B37" s="605">
        <v>20583095</v>
      </c>
      <c r="C37" s="605">
        <v>-1488</v>
      </c>
      <c r="D37" s="605"/>
      <c r="E37" s="605">
        <f t="shared" si="3"/>
        <v>20581607</v>
      </c>
      <c r="F37" s="605">
        <v>17342758</v>
      </c>
      <c r="G37" s="605">
        <f t="shared" si="0"/>
        <v>-3240337</v>
      </c>
      <c r="H37" s="771">
        <f>G37/B37</f>
        <v>-0.15742710219235737</v>
      </c>
      <c r="I37" s="605">
        <f t="shared" si="1"/>
        <v>-3238849</v>
      </c>
      <c r="J37" s="771">
        <f t="shared" si="2"/>
        <v>-0.15736618622637191</v>
      </c>
    </row>
    <row r="38" spans="1:10" x14ac:dyDescent="0.2">
      <c r="A38" s="58"/>
      <c r="B38" s="58"/>
      <c r="C38" s="58"/>
      <c r="D38" s="58"/>
      <c r="E38" s="58">
        <f t="shared" si="3"/>
        <v>0</v>
      </c>
      <c r="F38" s="58"/>
      <c r="G38" s="58">
        <f t="shared" si="0"/>
        <v>0</v>
      </c>
      <c r="H38" s="771"/>
      <c r="I38" s="58">
        <f t="shared" si="1"/>
        <v>0</v>
      </c>
      <c r="J38" s="771" t="str">
        <f t="shared" si="2"/>
        <v/>
      </c>
    </row>
    <row r="39" spans="1:10" x14ac:dyDescent="0.2">
      <c r="A39" s="122" t="s">
        <v>26</v>
      </c>
      <c r="B39" s="643">
        <f>B40+B34+B32</f>
        <v>-22327232</v>
      </c>
      <c r="C39" s="643">
        <f>C40+C34+C32</f>
        <v>-85002347</v>
      </c>
      <c r="D39" s="643">
        <f>D40+D34+D32</f>
        <v>17165138</v>
      </c>
      <c r="E39" s="643">
        <f t="shared" si="3"/>
        <v>-90164441</v>
      </c>
      <c r="F39" s="643">
        <f>F40+F34+F32</f>
        <v>-66760384</v>
      </c>
      <c r="G39" s="643">
        <f t="shared" si="0"/>
        <v>-44433152</v>
      </c>
      <c r="H39" s="770">
        <f>G39/B39</f>
        <v>1.9900877995086896</v>
      </c>
      <c r="I39" s="643">
        <f t="shared" si="1"/>
        <v>23404057</v>
      </c>
      <c r="J39" s="770">
        <f>IF(F39=0,"",I39/E39)</f>
        <v>-0.25957081018225353</v>
      </c>
    </row>
    <row r="40" spans="1:10" x14ac:dyDescent="0.2">
      <c r="A40" s="122" t="s">
        <v>27</v>
      </c>
      <c r="B40" s="40">
        <v>-46320</v>
      </c>
      <c r="C40" s="40">
        <v>5952</v>
      </c>
      <c r="D40" s="40"/>
      <c r="E40" s="40">
        <f t="shared" si="3"/>
        <v>-40368</v>
      </c>
      <c r="F40" s="40">
        <v>-88368</v>
      </c>
      <c r="G40" s="40">
        <f t="shared" si="0"/>
        <v>-42048</v>
      </c>
      <c r="H40" s="772">
        <f>G40/B40</f>
        <v>0.90777202072538865</v>
      </c>
      <c r="I40" s="40">
        <f t="shared" si="1"/>
        <v>-48000</v>
      </c>
      <c r="J40" s="772">
        <f t="shared" si="2"/>
        <v>1.1890606420927468</v>
      </c>
    </row>
    <row r="41" spans="1:10" x14ac:dyDescent="0.2">
      <c r="A41" s="122"/>
      <c r="B41" s="643"/>
      <c r="E41" s="643"/>
    </row>
    <row r="42" spans="1:10" hidden="1" x14ac:dyDescent="0.2">
      <c r="A42" s="42" t="s">
        <v>762</v>
      </c>
      <c r="B42" s="75">
        <f>B4+B21+B23+B30+B36+B29</f>
        <v>841642726</v>
      </c>
      <c r="E42" s="75"/>
    </row>
    <row r="43" spans="1:10" ht="12.75" hidden="1" customHeight="1" x14ac:dyDescent="0.2">
      <c r="A43" s="122" t="s">
        <v>763</v>
      </c>
      <c r="B43" s="75">
        <f>B11+B22+B24+B31+B37</f>
        <v>856286127</v>
      </c>
      <c r="E43" s="75"/>
    </row>
    <row r="44" spans="1:10" ht="12.75" hidden="1" customHeight="1" x14ac:dyDescent="0.2">
      <c r="A44" s="122"/>
      <c r="B44" s="75"/>
      <c r="E44" s="75"/>
    </row>
    <row r="45" spans="1:10" ht="12.75" hidden="1" customHeight="1" x14ac:dyDescent="0.2">
      <c r="A45" s="122"/>
      <c r="B45" s="75"/>
      <c r="E45" s="75"/>
    </row>
    <row r="46" spans="1:10" ht="12.75" hidden="1" customHeight="1" x14ac:dyDescent="0.2">
      <c r="A46" s="122"/>
      <c r="B46" s="75"/>
      <c r="E46" s="75"/>
    </row>
    <row r="47" spans="1:10" ht="12.75" hidden="1" customHeight="1" x14ac:dyDescent="0.2">
      <c r="A47" s="122"/>
      <c r="B47" s="46"/>
      <c r="E47" s="46"/>
    </row>
    <row r="48" spans="1:10" ht="12.75" hidden="1" customHeight="1" x14ac:dyDescent="0.2">
      <c r="A48" s="17"/>
    </row>
    <row r="49" spans="1:5" ht="12.75" hidden="1" customHeight="1" x14ac:dyDescent="0.2">
      <c r="A49" s="17" t="s">
        <v>970</v>
      </c>
      <c r="B49" s="54">
        <f>B4+B21+B23+B30</f>
        <v>763381926</v>
      </c>
      <c r="E49" s="54"/>
    </row>
    <row r="50" spans="1:5" ht="12.75" hidden="1" customHeight="1" x14ac:dyDescent="0.2">
      <c r="A50" s="486" t="s">
        <v>971</v>
      </c>
      <c r="B50" s="46"/>
      <c r="E50" s="46"/>
    </row>
    <row r="51" spans="1:5" ht="12.75" hidden="1" customHeight="1" x14ac:dyDescent="0.2"/>
    <row r="52" spans="1:5" ht="12.75" hidden="1" customHeight="1" x14ac:dyDescent="0.2"/>
  </sheetData>
  <mergeCells count="3">
    <mergeCell ref="B2:E2"/>
    <mergeCell ref="I2:J2"/>
    <mergeCell ref="G2:H2"/>
  </mergeCells>
  <phoneticPr fontId="37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9" tint="0.79998168889431442"/>
  </sheetPr>
  <dimension ref="A1:S59"/>
  <sheetViews>
    <sheetView showZeros="0" zoomScaleNormal="100" workbookViewId="0">
      <selection activeCell="D5" sqref="D5"/>
    </sheetView>
  </sheetViews>
  <sheetFormatPr defaultRowHeight="12.75" x14ac:dyDescent="0.2"/>
  <cols>
    <col min="1" max="1" width="36" customWidth="1"/>
    <col min="2" max="3" width="11.42578125" hidden="1" customWidth="1"/>
    <col min="4" max="4" width="13.42578125" bestFit="1" customWidth="1"/>
    <col min="5" max="5" width="11.42578125" hidden="1" customWidth="1"/>
    <col min="6" max="6" width="10.5703125" hidden="1" customWidth="1"/>
    <col min="7" max="7" width="13.42578125" style="56" hidden="1" customWidth="1"/>
    <col min="8" max="10" width="13.42578125" style="486" hidden="1" customWidth="1"/>
    <col min="11" max="11" width="13.42578125" style="56" bestFit="1" customWidth="1"/>
    <col min="12" max="13" width="13.42578125" style="486" hidden="1" customWidth="1"/>
    <col min="14" max="14" width="13.42578125" style="486" customWidth="1"/>
    <col min="15" max="15" width="11.140625" bestFit="1" customWidth="1"/>
    <col min="16" max="16" width="7.85546875" bestFit="1" customWidth="1"/>
    <col min="17" max="17" width="11.140625" bestFit="1" customWidth="1"/>
    <col min="19" max="19" width="13.42578125" style="486" customWidth="1"/>
  </cols>
  <sheetData>
    <row r="1" spans="1:19" ht="15" x14ac:dyDescent="0.25">
      <c r="A1" s="19" t="s">
        <v>89</v>
      </c>
      <c r="B1" s="19"/>
      <c r="C1" s="19"/>
    </row>
    <row r="2" spans="1:19" s="56" customFormat="1" ht="12.75" customHeight="1" x14ac:dyDescent="0.25">
      <c r="A2" s="19"/>
      <c r="B2" s="19"/>
      <c r="C2" s="19"/>
      <c r="H2" s="486"/>
      <c r="I2" s="486"/>
      <c r="J2" s="486"/>
      <c r="L2" s="486"/>
      <c r="M2" s="486"/>
      <c r="N2" s="486"/>
      <c r="S2" s="486"/>
    </row>
    <row r="3" spans="1:19" x14ac:dyDescent="0.2">
      <c r="A3" s="14"/>
      <c r="B3" s="14"/>
      <c r="C3" s="14"/>
      <c r="D3" s="20"/>
      <c r="G3" s="20"/>
      <c r="H3" s="774"/>
      <c r="I3" s="774"/>
      <c r="J3" s="774"/>
      <c r="K3" s="20"/>
      <c r="L3" s="20"/>
      <c r="M3" s="20"/>
      <c r="N3" s="20"/>
      <c r="R3" s="806" t="s">
        <v>53</v>
      </c>
      <c r="S3" s="774"/>
    </row>
    <row r="4" spans="1:19" ht="27.75" customHeight="1" x14ac:dyDescent="0.2">
      <c r="D4" s="1003">
        <v>2021</v>
      </c>
      <c r="E4" s="1003"/>
      <c r="F4" s="1003"/>
      <c r="G4" s="1003"/>
      <c r="H4" s="1003"/>
      <c r="I4" s="1003"/>
      <c r="J4" s="1003"/>
      <c r="K4" s="1003"/>
      <c r="L4" s="17"/>
      <c r="M4" s="17"/>
      <c r="N4" s="807">
        <v>2022</v>
      </c>
      <c r="O4" s="998" t="s">
        <v>1075</v>
      </c>
      <c r="P4" s="999"/>
      <c r="Q4" s="996" t="s">
        <v>1076</v>
      </c>
      <c r="R4" s="997"/>
      <c r="S4" s="807">
        <v>2022</v>
      </c>
    </row>
    <row r="5" spans="1:19" ht="25.5" x14ac:dyDescent="0.2">
      <c r="A5" s="21" t="s">
        <v>90</v>
      </c>
      <c r="B5" s="22" t="s">
        <v>91</v>
      </c>
      <c r="C5" s="22" t="s">
        <v>92</v>
      </c>
      <c r="D5" s="813" t="s">
        <v>859</v>
      </c>
      <c r="E5" s="813" t="s">
        <v>91</v>
      </c>
      <c r="F5" s="813" t="s">
        <v>92</v>
      </c>
      <c r="G5" s="813" t="s">
        <v>990</v>
      </c>
      <c r="H5" s="813" t="s">
        <v>989</v>
      </c>
      <c r="I5" s="813" t="s">
        <v>92</v>
      </c>
      <c r="J5" s="813" t="s">
        <v>1024</v>
      </c>
      <c r="K5" s="813" t="s">
        <v>860</v>
      </c>
      <c r="L5" s="466" t="s">
        <v>989</v>
      </c>
      <c r="M5" s="466" t="s">
        <v>92</v>
      </c>
      <c r="N5" s="808" t="s">
        <v>1074</v>
      </c>
      <c r="O5" s="809" t="s">
        <v>53</v>
      </c>
      <c r="P5" s="810" t="s">
        <v>981</v>
      </c>
      <c r="Q5" s="811" t="s">
        <v>53</v>
      </c>
      <c r="R5" s="812" t="s">
        <v>981</v>
      </c>
      <c r="S5" s="808" t="s">
        <v>1147</v>
      </c>
    </row>
    <row r="6" spans="1:19" ht="7.5" customHeight="1" x14ac:dyDescent="0.2">
      <c r="A6" s="2"/>
      <c r="B6" s="2"/>
      <c r="C6" s="2"/>
      <c r="D6" s="2"/>
      <c r="G6" s="2"/>
      <c r="H6" s="2"/>
      <c r="I6" s="2"/>
      <c r="J6" s="2"/>
      <c r="K6" s="2"/>
      <c r="L6" s="2"/>
      <c r="M6" s="2"/>
      <c r="N6" s="2"/>
      <c r="O6" s="486"/>
      <c r="P6" s="486"/>
      <c r="S6" s="2"/>
    </row>
    <row r="7" spans="1:19" x14ac:dyDescent="0.2">
      <c r="A7" s="23" t="s">
        <v>94</v>
      </c>
      <c r="B7" s="7">
        <f>B9+B13</f>
        <v>520248536</v>
      </c>
      <c r="C7" s="7"/>
      <c r="D7" s="7">
        <f>B7+C7</f>
        <v>520248536</v>
      </c>
      <c r="E7" s="7">
        <f>E9+E13</f>
        <v>9700000</v>
      </c>
      <c r="F7" s="54"/>
      <c r="G7" s="7">
        <f t="shared" ref="G7:G52" si="0">E7+F7</f>
        <v>9700000</v>
      </c>
      <c r="H7" s="7">
        <f>H9+H13</f>
        <v>5620000</v>
      </c>
      <c r="I7" s="7"/>
      <c r="J7" s="7">
        <f>H7+I7</f>
        <v>5620000</v>
      </c>
      <c r="K7" s="7">
        <f>D7+G7+J7</f>
        <v>535568536</v>
      </c>
      <c r="L7" s="7">
        <f>L9+L13</f>
        <v>593370000</v>
      </c>
      <c r="M7" s="7"/>
      <c r="N7" s="7">
        <f>L7+M7</f>
        <v>593370000</v>
      </c>
      <c r="O7" s="7">
        <f>N7-D7</f>
        <v>73121464</v>
      </c>
      <c r="P7" s="803">
        <f>O7/D7</f>
        <v>0.14055102309792949</v>
      </c>
      <c r="Q7" s="7">
        <f>IF(N7=0,0,N7-K7)</f>
        <v>57801464</v>
      </c>
      <c r="R7" s="803">
        <f>Q7/K7</f>
        <v>0.1079254289874863</v>
      </c>
      <c r="S7" s="968">
        <f>N7/$N$55</f>
        <v>0.68319627674051364</v>
      </c>
    </row>
    <row r="8" spans="1:19" x14ac:dyDescent="0.2">
      <c r="A8" s="2"/>
      <c r="B8" s="24"/>
      <c r="C8" s="24"/>
      <c r="D8" s="24"/>
      <c r="E8" s="24"/>
      <c r="F8" s="54"/>
      <c r="G8" s="24">
        <f t="shared" si="0"/>
        <v>0</v>
      </c>
      <c r="H8" s="24"/>
      <c r="I8" s="24"/>
      <c r="J8" s="24">
        <f t="shared" ref="J8:J55" si="1">H8+I8</f>
        <v>0</v>
      </c>
      <c r="K8" s="24">
        <f t="shared" ref="K8:K55" si="2">D8+G8+J8</f>
        <v>0</v>
      </c>
      <c r="L8" s="24"/>
      <c r="M8" s="24"/>
      <c r="N8" s="24">
        <f t="shared" ref="N8:N55" si="3">L8+M8</f>
        <v>0</v>
      </c>
      <c r="O8" s="24">
        <f>IF(R8=0,0,R8-M8)</f>
        <v>0</v>
      </c>
      <c r="P8" s="805"/>
      <c r="Q8" s="24">
        <f t="shared" ref="Q8:Q55" si="4">IF(N8=0,0,N8-K8)</f>
        <v>0</v>
      </c>
      <c r="R8" s="805"/>
      <c r="S8" s="992">
        <f t="shared" ref="S8:S55" si="5">N8/$N$55</f>
        <v>0</v>
      </c>
    </row>
    <row r="9" spans="1:19" x14ac:dyDescent="0.2">
      <c r="A9" s="51" t="s">
        <v>56</v>
      </c>
      <c r="B9" s="7">
        <f>B10+B11</f>
        <v>509148536</v>
      </c>
      <c r="C9" s="25"/>
      <c r="D9" s="7">
        <f>B9+C9</f>
        <v>509148536</v>
      </c>
      <c r="E9" s="7">
        <f>E10+E11</f>
        <v>10000000</v>
      </c>
      <c r="F9" s="54"/>
      <c r="G9" s="7">
        <f t="shared" si="0"/>
        <v>10000000</v>
      </c>
      <c r="H9" s="7">
        <f>H10+H11</f>
        <v>3720000</v>
      </c>
      <c r="I9" s="7"/>
      <c r="J9" s="7">
        <f t="shared" si="1"/>
        <v>3720000</v>
      </c>
      <c r="K9" s="7">
        <f t="shared" si="2"/>
        <v>522868536</v>
      </c>
      <c r="L9" s="7">
        <f>L10+L11</f>
        <v>581400000</v>
      </c>
      <c r="M9" s="7"/>
      <c r="N9" s="7">
        <f t="shared" si="3"/>
        <v>581400000</v>
      </c>
      <c r="O9" s="7">
        <f t="shared" ref="O9:O55" si="6">N9-D9</f>
        <v>72251464</v>
      </c>
      <c r="P9" s="803">
        <f>O9/D9</f>
        <v>0.14190645536885135</v>
      </c>
      <c r="Q9" s="7">
        <f t="shared" si="4"/>
        <v>58531464</v>
      </c>
      <c r="R9" s="803">
        <f>Q9/K9</f>
        <v>0.11194298369485366</v>
      </c>
      <c r="S9" s="968">
        <f t="shared" si="5"/>
        <v>0.66941421928465317</v>
      </c>
    </row>
    <row r="10" spans="1:19" x14ac:dyDescent="0.2">
      <c r="A10" s="52" t="s">
        <v>95</v>
      </c>
      <c r="B10" s="54">
        <f>'2.1 LK TULUD'!B7</f>
        <v>483748536</v>
      </c>
      <c r="C10" s="27"/>
      <c r="D10" s="61">
        <f>B10+C10</f>
        <v>483748536</v>
      </c>
      <c r="E10" s="54">
        <f>'2.1 LK TULUD'!C7</f>
        <v>10000000</v>
      </c>
      <c r="F10" s="54"/>
      <c r="G10" s="61">
        <f t="shared" si="0"/>
        <v>10000000</v>
      </c>
      <c r="H10" s="54">
        <f>'2.1 LK TULUD'!D7</f>
        <v>3720000</v>
      </c>
      <c r="I10" s="61"/>
      <c r="J10" s="54">
        <f t="shared" si="1"/>
        <v>3720000</v>
      </c>
      <c r="K10" s="61">
        <f t="shared" si="2"/>
        <v>497468536</v>
      </c>
      <c r="L10" s="61">
        <v>556000000</v>
      </c>
      <c r="M10" s="61"/>
      <c r="N10" s="61">
        <f t="shared" si="3"/>
        <v>556000000</v>
      </c>
      <c r="O10" s="61">
        <f t="shared" si="6"/>
        <v>72251464</v>
      </c>
      <c r="P10" s="794">
        <f>O10/D10</f>
        <v>0.14935748353355224</v>
      </c>
      <c r="Q10" s="61">
        <f t="shared" si="4"/>
        <v>58531464</v>
      </c>
      <c r="R10" s="794">
        <f>Q10/K10</f>
        <v>0.1176586251477018</v>
      </c>
      <c r="S10" s="967">
        <f t="shared" si="5"/>
        <v>0.64016908483362089</v>
      </c>
    </row>
    <row r="11" spans="1:19" x14ac:dyDescent="0.2">
      <c r="A11" s="52" t="s">
        <v>96</v>
      </c>
      <c r="B11" s="54">
        <f>'2.1 LK TULUD'!B10</f>
        <v>25400000</v>
      </c>
      <c r="C11" s="27"/>
      <c r="D11" s="61">
        <f>B11+C11</f>
        <v>25400000</v>
      </c>
      <c r="E11" s="54">
        <f>'2.1 LK TULUD'!C10</f>
        <v>0</v>
      </c>
      <c r="F11" s="54"/>
      <c r="G11" s="61">
        <f t="shared" si="0"/>
        <v>0</v>
      </c>
      <c r="H11" s="54">
        <f>'2.1 LK TULUD'!D10</f>
        <v>0</v>
      </c>
      <c r="I11" s="61"/>
      <c r="J11" s="54">
        <f t="shared" si="1"/>
        <v>0</v>
      </c>
      <c r="K11" s="61">
        <f t="shared" si="2"/>
        <v>25400000</v>
      </c>
      <c r="L11" s="61">
        <v>25400000</v>
      </c>
      <c r="M11" s="61"/>
      <c r="N11" s="61">
        <f t="shared" si="3"/>
        <v>25400000</v>
      </c>
      <c r="O11" s="61">
        <f t="shared" si="6"/>
        <v>0</v>
      </c>
      <c r="P11" s="794">
        <f>O11/D11</f>
        <v>0</v>
      </c>
      <c r="Q11" s="61">
        <f t="shared" si="4"/>
        <v>0</v>
      </c>
      <c r="R11" s="794">
        <f>Q11/K11</f>
        <v>0</v>
      </c>
      <c r="S11" s="967">
        <f t="shared" si="5"/>
        <v>2.9245134451032318E-2</v>
      </c>
    </row>
    <row r="12" spans="1:19" ht="7.5" customHeight="1" x14ac:dyDescent="0.2">
      <c r="A12" s="38"/>
      <c r="B12" s="54"/>
      <c r="C12" s="28"/>
      <c r="D12" s="61"/>
      <c r="E12" s="54"/>
      <c r="F12" s="54"/>
      <c r="G12" s="61">
        <f t="shared" si="0"/>
        <v>0</v>
      </c>
      <c r="H12" s="54"/>
      <c r="I12" s="61"/>
      <c r="J12" s="54">
        <f t="shared" si="1"/>
        <v>0</v>
      </c>
      <c r="K12" s="61">
        <f t="shared" si="2"/>
        <v>0</v>
      </c>
      <c r="L12" s="61"/>
      <c r="M12" s="61"/>
      <c r="N12" s="61">
        <f t="shared" si="3"/>
        <v>0</v>
      </c>
      <c r="O12" s="61">
        <f t="shared" si="6"/>
        <v>0</v>
      </c>
      <c r="P12" s="794"/>
      <c r="Q12" s="61">
        <f t="shared" si="4"/>
        <v>0</v>
      </c>
      <c r="R12" s="794"/>
      <c r="S12" s="967">
        <f t="shared" si="5"/>
        <v>0</v>
      </c>
    </row>
    <row r="13" spans="1:19" x14ac:dyDescent="0.2">
      <c r="A13" s="51" t="s">
        <v>57</v>
      </c>
      <c r="B13" s="7">
        <f>SUM(B14:B16)</f>
        <v>11100000</v>
      </c>
      <c r="C13" s="25"/>
      <c r="D13" s="7">
        <f>B13+C13</f>
        <v>11100000</v>
      </c>
      <c r="E13" s="7">
        <f>SUM(E14:E16)</f>
        <v>-300000</v>
      </c>
      <c r="F13" s="54"/>
      <c r="G13" s="7">
        <f t="shared" si="0"/>
        <v>-300000</v>
      </c>
      <c r="H13" s="7">
        <f>SUM(H14:H16)</f>
        <v>1900000</v>
      </c>
      <c r="I13" s="7"/>
      <c r="J13" s="7">
        <f t="shared" si="1"/>
        <v>1900000</v>
      </c>
      <c r="K13" s="7">
        <f t="shared" si="2"/>
        <v>12700000</v>
      </c>
      <c r="L13" s="7">
        <f>SUM(L14:L16)</f>
        <v>11970000</v>
      </c>
      <c r="M13" s="7"/>
      <c r="N13" s="7">
        <f t="shared" si="3"/>
        <v>11970000</v>
      </c>
      <c r="O13" s="7">
        <f t="shared" si="6"/>
        <v>870000</v>
      </c>
      <c r="P13" s="803">
        <f>O13/D13</f>
        <v>7.8378378378378383E-2</v>
      </c>
      <c r="Q13" s="7">
        <f t="shared" si="4"/>
        <v>-730000</v>
      </c>
      <c r="R13" s="803">
        <f>Q13/K13</f>
        <v>-5.748031496062992E-2</v>
      </c>
      <c r="S13" s="968">
        <f t="shared" si="5"/>
        <v>1.3782057455860506E-2</v>
      </c>
    </row>
    <row r="14" spans="1:19" ht="12.75" customHeight="1" x14ac:dyDescent="0.2">
      <c r="A14" s="52" t="s">
        <v>97</v>
      </c>
      <c r="B14" s="54">
        <f>'2.1 LK TULUD'!B14</f>
        <v>4500000</v>
      </c>
      <c r="C14" s="27"/>
      <c r="D14" s="61">
        <f>B14+C14</f>
        <v>4500000</v>
      </c>
      <c r="E14" s="54">
        <f>'2.1 LK TULUD'!C14</f>
        <v>0</v>
      </c>
      <c r="F14" s="54"/>
      <c r="G14" s="61">
        <f t="shared" si="0"/>
        <v>0</v>
      </c>
      <c r="H14" s="54">
        <f>'2.1 LK TULUD'!D14</f>
        <v>500000</v>
      </c>
      <c r="I14" s="61"/>
      <c r="J14" s="54">
        <f t="shared" si="1"/>
        <v>500000</v>
      </c>
      <c r="K14" s="61">
        <f t="shared" si="2"/>
        <v>5000000</v>
      </c>
      <c r="L14" s="61">
        <v>5000000</v>
      </c>
      <c r="M14" s="61"/>
      <c r="N14" s="61">
        <f t="shared" si="3"/>
        <v>5000000</v>
      </c>
      <c r="O14" s="61">
        <f t="shared" si="6"/>
        <v>500000</v>
      </c>
      <c r="P14" s="794">
        <f>O14/D14</f>
        <v>0.1111111111111111</v>
      </c>
      <c r="Q14" s="61">
        <f t="shared" si="4"/>
        <v>0</v>
      </c>
      <c r="R14" s="794">
        <f>Q14/K14</f>
        <v>0</v>
      </c>
      <c r="S14" s="967">
        <f t="shared" si="5"/>
        <v>5.7569162305181731E-3</v>
      </c>
    </row>
    <row r="15" spans="1:19" ht="12.75" customHeight="1" x14ac:dyDescent="0.2">
      <c r="A15" s="67" t="s">
        <v>139</v>
      </c>
      <c r="B15" s="54">
        <f>'2.1 LK TULUD'!B17</f>
        <v>900000</v>
      </c>
      <c r="C15" s="27"/>
      <c r="D15" s="61">
        <f>B15+C15</f>
        <v>900000</v>
      </c>
      <c r="E15" s="54">
        <f>'2.1 LK TULUD'!C17</f>
        <v>0</v>
      </c>
      <c r="F15" s="54"/>
      <c r="G15" s="61">
        <f t="shared" si="0"/>
        <v>0</v>
      </c>
      <c r="H15" s="54">
        <f>'2.1 LK TULUD'!D17</f>
        <v>800000</v>
      </c>
      <c r="I15" s="61"/>
      <c r="J15" s="54">
        <f t="shared" si="1"/>
        <v>800000</v>
      </c>
      <c r="K15" s="61">
        <f t="shared" si="2"/>
        <v>1700000</v>
      </c>
      <c r="L15" s="61">
        <v>1470000</v>
      </c>
      <c r="M15" s="61"/>
      <c r="N15" s="61">
        <f t="shared" si="3"/>
        <v>1470000</v>
      </c>
      <c r="O15" s="61">
        <f t="shared" si="6"/>
        <v>570000</v>
      </c>
      <c r="P15" s="794">
        <f>O15/D15</f>
        <v>0.6333333333333333</v>
      </c>
      <c r="Q15" s="61">
        <f t="shared" si="4"/>
        <v>-230000</v>
      </c>
      <c r="R15" s="794">
        <f>Q15/K15</f>
        <v>-0.13529411764705881</v>
      </c>
      <c r="S15" s="967">
        <f t="shared" si="5"/>
        <v>1.6925333717723429E-3</v>
      </c>
    </row>
    <row r="16" spans="1:19" x14ac:dyDescent="0.2">
      <c r="A16" s="52" t="s">
        <v>98</v>
      </c>
      <c r="B16" s="54">
        <f>'2.1 LK TULUD'!B20</f>
        <v>5700000</v>
      </c>
      <c r="C16" s="27"/>
      <c r="D16" s="61">
        <f>B16+C16</f>
        <v>5700000</v>
      </c>
      <c r="E16" s="54">
        <f>'2.1 LK TULUD'!C20</f>
        <v>-300000</v>
      </c>
      <c r="F16" s="54"/>
      <c r="G16" s="61">
        <f t="shared" si="0"/>
        <v>-300000</v>
      </c>
      <c r="H16" s="54">
        <f>'2.1 LK TULUD'!D20</f>
        <v>600000</v>
      </c>
      <c r="I16" s="61"/>
      <c r="J16" s="54">
        <f t="shared" si="1"/>
        <v>600000</v>
      </c>
      <c r="K16" s="61">
        <f t="shared" si="2"/>
        <v>6000000</v>
      </c>
      <c r="L16" s="61">
        <v>5500000</v>
      </c>
      <c r="M16" s="61"/>
      <c r="N16" s="61">
        <f t="shared" si="3"/>
        <v>5500000</v>
      </c>
      <c r="O16" s="61">
        <f t="shared" si="6"/>
        <v>-200000</v>
      </c>
      <c r="P16" s="794">
        <f>O16/D16</f>
        <v>-3.5087719298245612E-2</v>
      </c>
      <c r="Q16" s="61">
        <f t="shared" si="4"/>
        <v>-500000</v>
      </c>
      <c r="R16" s="794">
        <f>Q16/K16</f>
        <v>-8.3333333333333329E-2</v>
      </c>
      <c r="S16" s="967">
        <f t="shared" si="5"/>
        <v>6.3326078535699904E-3</v>
      </c>
    </row>
    <row r="17" spans="1:19" ht="6.75" customHeight="1" x14ac:dyDescent="0.2">
      <c r="A17" s="29"/>
      <c r="B17" s="54"/>
      <c r="C17" s="30"/>
      <c r="D17" s="61"/>
      <c r="E17" s="54"/>
      <c r="F17" s="54"/>
      <c r="G17" s="61">
        <f t="shared" si="0"/>
        <v>0</v>
      </c>
      <c r="H17" s="54"/>
      <c r="I17" s="61"/>
      <c r="J17" s="54">
        <f t="shared" si="1"/>
        <v>0</v>
      </c>
      <c r="K17" s="61">
        <f t="shared" si="2"/>
        <v>0</v>
      </c>
      <c r="L17" s="61"/>
      <c r="M17" s="61"/>
      <c r="N17" s="61">
        <f t="shared" si="3"/>
        <v>0</v>
      </c>
      <c r="O17" s="61">
        <f t="shared" si="6"/>
        <v>0</v>
      </c>
      <c r="P17" s="794"/>
      <c r="Q17" s="61">
        <f t="shared" si="4"/>
        <v>0</v>
      </c>
      <c r="R17" s="794"/>
      <c r="S17" s="967">
        <f t="shared" si="5"/>
        <v>0</v>
      </c>
    </row>
    <row r="18" spans="1:19" ht="13.5" customHeight="1" x14ac:dyDescent="0.2">
      <c r="A18" s="23" t="s">
        <v>58</v>
      </c>
      <c r="B18" s="7">
        <f>'2.1 LK TULUD'!B23</f>
        <v>563100</v>
      </c>
      <c r="C18" s="7"/>
      <c r="D18" s="7">
        <f>B18+C18</f>
        <v>563100</v>
      </c>
      <c r="E18" s="7">
        <f>'2.1 LK TULUD'!C23</f>
        <v>0</v>
      </c>
      <c r="F18" s="54"/>
      <c r="G18" s="7">
        <f t="shared" si="0"/>
        <v>0</v>
      </c>
      <c r="H18" s="7">
        <f>'2.1 LK TULUD'!D23</f>
        <v>0</v>
      </c>
      <c r="I18" s="7"/>
      <c r="J18" s="7">
        <f t="shared" si="1"/>
        <v>0</v>
      </c>
      <c r="K18" s="7">
        <f t="shared" si="2"/>
        <v>563100</v>
      </c>
      <c r="L18" s="7">
        <f>'2.1 LK TULUD'!F23</f>
        <v>493024</v>
      </c>
      <c r="M18" s="7"/>
      <c r="N18" s="7">
        <f t="shared" si="3"/>
        <v>493024</v>
      </c>
      <c r="O18" s="7">
        <f t="shared" si="6"/>
        <v>-70076</v>
      </c>
      <c r="P18" s="803">
        <f>O18/D18</f>
        <v>-0.12444681228911383</v>
      </c>
      <c r="Q18" s="7">
        <f t="shared" si="4"/>
        <v>-70076</v>
      </c>
      <c r="R18" s="803">
        <f>Q18/K18</f>
        <v>-0.12444681228911383</v>
      </c>
      <c r="S18" s="968">
        <f t="shared" si="5"/>
        <v>5.6765957352699833E-4</v>
      </c>
    </row>
    <row r="19" spans="1:19" ht="6.75" customHeight="1" x14ac:dyDescent="0.2">
      <c r="A19" s="31"/>
      <c r="B19" s="54"/>
      <c r="C19" s="32"/>
      <c r="D19" s="61"/>
      <c r="E19" s="54"/>
      <c r="F19" s="54"/>
      <c r="G19" s="61">
        <f t="shared" si="0"/>
        <v>0</v>
      </c>
      <c r="H19" s="54"/>
      <c r="I19" s="61"/>
      <c r="J19" s="54">
        <f t="shared" si="1"/>
        <v>0</v>
      </c>
      <c r="K19" s="61">
        <f t="shared" si="2"/>
        <v>0</v>
      </c>
      <c r="L19" s="61"/>
      <c r="M19" s="61"/>
      <c r="N19" s="61">
        <f t="shared" si="3"/>
        <v>0</v>
      </c>
      <c r="O19" s="61">
        <f t="shared" si="6"/>
        <v>0</v>
      </c>
      <c r="P19" s="794"/>
      <c r="Q19" s="61">
        <f t="shared" si="4"/>
        <v>0</v>
      </c>
      <c r="R19" s="794"/>
      <c r="S19" s="967">
        <f t="shared" si="5"/>
        <v>0</v>
      </c>
    </row>
    <row r="20" spans="1:19" x14ac:dyDescent="0.2">
      <c r="A20" s="23" t="s">
        <v>59</v>
      </c>
      <c r="B20" s="7">
        <f>SUM(B21:B24)</f>
        <v>715000</v>
      </c>
      <c r="C20" s="7">
        <f ca="1">SUM(C21:C24)</f>
        <v>88935898</v>
      </c>
      <c r="D20" s="7">
        <f ca="1">B20+C20</f>
        <v>89650898</v>
      </c>
      <c r="E20" s="7">
        <f>SUM(E21:E24)</f>
        <v>0</v>
      </c>
      <c r="F20" s="7">
        <f ca="1">SUM(F21:F24)</f>
        <v>-6118096</v>
      </c>
      <c r="G20" s="7">
        <f t="shared" ca="1" si="0"/>
        <v>-6118096</v>
      </c>
      <c r="H20" s="7">
        <f>SUM(H21:H24)</f>
        <v>50000</v>
      </c>
      <c r="I20" s="7">
        <f ca="1">SUM(I21:I24)</f>
        <v>-1094134</v>
      </c>
      <c r="J20" s="7">
        <f t="shared" ca="1" si="1"/>
        <v>-1044134</v>
      </c>
      <c r="K20" s="7">
        <f t="shared" ca="1" si="2"/>
        <v>82488668</v>
      </c>
      <c r="L20" s="7">
        <f>SUM(L21:L24)</f>
        <v>852000</v>
      </c>
      <c r="M20" s="7">
        <f>SUM(M21:M24)</f>
        <v>89285039</v>
      </c>
      <c r="N20" s="7">
        <f t="shared" si="3"/>
        <v>90137039</v>
      </c>
      <c r="O20" s="7">
        <f t="shared" ca="1" si="6"/>
        <v>486141</v>
      </c>
      <c r="P20" s="803">
        <f ca="1">O20/D20</f>
        <v>5.4226004518103102E-3</v>
      </c>
      <c r="Q20" s="7">
        <f t="shared" ca="1" si="4"/>
        <v>7648371</v>
      </c>
      <c r="R20" s="803">
        <f ca="1">Q20/K20</f>
        <v>9.2720263103290748E-2</v>
      </c>
      <c r="S20" s="968">
        <f t="shared" si="5"/>
        <v>0.10378227655798991</v>
      </c>
    </row>
    <row r="21" spans="1:19" x14ac:dyDescent="0.2">
      <c r="A21" s="26" t="s">
        <v>50</v>
      </c>
      <c r="B21" s="54"/>
      <c r="C21" s="54">
        <f ca="1">Sheet2!B1</f>
        <v>71731197</v>
      </c>
      <c r="D21" s="61">
        <f ca="1">B21+C21</f>
        <v>71731197</v>
      </c>
      <c r="E21" s="54"/>
      <c r="F21" s="54">
        <f ca="1">Sheet2!C1</f>
        <v>-4777243</v>
      </c>
      <c r="G21" s="61">
        <f t="shared" ca="1" si="0"/>
        <v>-4777243</v>
      </c>
      <c r="H21" s="54"/>
      <c r="I21" s="54">
        <f ca="1">Sheet2!D1</f>
        <v>-216788</v>
      </c>
      <c r="J21" s="54">
        <f t="shared" ca="1" si="1"/>
        <v>-216788</v>
      </c>
      <c r="K21" s="61">
        <f t="shared" ca="1" si="2"/>
        <v>66737166</v>
      </c>
      <c r="L21" s="61"/>
      <c r="M21" s="61">
        <v>71281297</v>
      </c>
      <c r="N21" s="61">
        <f t="shared" si="3"/>
        <v>71281297</v>
      </c>
      <c r="O21" s="61">
        <f t="shared" ca="1" si="6"/>
        <v>-449900</v>
      </c>
      <c r="P21" s="794">
        <f ca="1">O21/D21</f>
        <v>-6.2720269396870651E-3</v>
      </c>
      <c r="Q21" s="61">
        <f t="shared" ca="1" si="4"/>
        <v>4544131</v>
      </c>
      <c r="R21" s="794">
        <f ca="1">Q21/K21</f>
        <v>6.8089960547620496E-2</v>
      </c>
      <c r="S21" s="967">
        <f t="shared" si="5"/>
        <v>8.2072091126337274E-2</v>
      </c>
    </row>
    <row r="22" spans="1:19" x14ac:dyDescent="0.2">
      <c r="A22" s="26" t="s">
        <v>124</v>
      </c>
      <c r="B22" s="54"/>
      <c r="C22" s="54">
        <f ca="1">Sheet2!B15</f>
        <v>11549532</v>
      </c>
      <c r="D22" s="61">
        <f ca="1">B22+C22</f>
        <v>11549532</v>
      </c>
      <c r="E22" s="54"/>
      <c r="F22" s="54">
        <f ca="1">Sheet2!C15</f>
        <v>-618528</v>
      </c>
      <c r="G22" s="61">
        <f t="shared" ca="1" si="0"/>
        <v>-618528</v>
      </c>
      <c r="H22" s="54"/>
      <c r="I22" s="54">
        <f ca="1">Sheet2!D15</f>
        <v>-845910</v>
      </c>
      <c r="J22" s="54">
        <f t="shared" ca="1" si="1"/>
        <v>-845910</v>
      </c>
      <c r="K22" s="61">
        <f t="shared" ca="1" si="2"/>
        <v>10085094</v>
      </c>
      <c r="L22" s="61"/>
      <c r="M22" s="61">
        <v>12712734</v>
      </c>
      <c r="N22" s="61">
        <f t="shared" si="3"/>
        <v>12712734</v>
      </c>
      <c r="O22" s="61">
        <f t="shared" ca="1" si="6"/>
        <v>1163202</v>
      </c>
      <c r="P22" s="794">
        <f ca="1">O22/D22</f>
        <v>0.10071421075763069</v>
      </c>
      <c r="Q22" s="61">
        <f t="shared" ca="1" si="4"/>
        <v>2627640</v>
      </c>
      <c r="R22" s="794">
        <f ca="1">Q22/K22</f>
        <v>0.26054690219050014</v>
      </c>
      <c r="S22" s="967">
        <f t="shared" si="5"/>
        <v>1.4637228939772044E-2</v>
      </c>
    </row>
    <row r="23" spans="1:19" x14ac:dyDescent="0.2">
      <c r="A23" s="26" t="s">
        <v>131</v>
      </c>
      <c r="B23" s="54">
        <f>'2.1 LK TULUD'!B29</f>
        <v>715000</v>
      </c>
      <c r="C23" s="54">
        <f ca="1">Sheet2!B14</f>
        <v>2269799</v>
      </c>
      <c r="D23" s="61">
        <f ca="1">B23+C23</f>
        <v>2984799</v>
      </c>
      <c r="E23" s="54">
        <f>'2.1 LK TULUD'!C29</f>
        <v>0</v>
      </c>
      <c r="F23" s="54">
        <f ca="1">Sheet2!C14</f>
        <v>-785265</v>
      </c>
      <c r="G23" s="61">
        <f t="shared" ca="1" si="0"/>
        <v>-785265</v>
      </c>
      <c r="H23" s="54">
        <f>'2.1 LK TULUD'!D29</f>
        <v>50000</v>
      </c>
      <c r="I23" s="54">
        <f ca="1">Sheet2!D14</f>
        <v>-102417</v>
      </c>
      <c r="J23" s="54">
        <f t="shared" ca="1" si="1"/>
        <v>-52417</v>
      </c>
      <c r="K23" s="61">
        <f t="shared" ca="1" si="2"/>
        <v>2147117</v>
      </c>
      <c r="L23" s="61">
        <v>852000</v>
      </c>
      <c r="M23" s="61">
        <v>2135578</v>
      </c>
      <c r="N23" s="61">
        <f t="shared" si="3"/>
        <v>2987578</v>
      </c>
      <c r="O23" s="61">
        <f t="shared" ca="1" si="6"/>
        <v>2779</v>
      </c>
      <c r="P23" s="794">
        <f ca="1">O23/D23</f>
        <v>9.310509685911849E-4</v>
      </c>
      <c r="Q23" s="61">
        <f t="shared" ca="1" si="4"/>
        <v>840461</v>
      </c>
      <c r="R23" s="794">
        <f ca="1">Q23/K23</f>
        <v>0.39143698270750965</v>
      </c>
      <c r="S23" s="967">
        <f t="shared" si="5"/>
        <v>3.4398472556278047E-3</v>
      </c>
    </row>
    <row r="24" spans="1:19" x14ac:dyDescent="0.2">
      <c r="A24" s="26" t="s">
        <v>125</v>
      </c>
      <c r="B24" s="54"/>
      <c r="C24" s="54">
        <f ca="1">Sheet2!B13</f>
        <v>3385370</v>
      </c>
      <c r="D24" s="61">
        <f ca="1">B24+C24</f>
        <v>3385370</v>
      </c>
      <c r="E24" s="54"/>
      <c r="F24" s="54">
        <f ca="1">Sheet2!C13</f>
        <v>62940</v>
      </c>
      <c r="G24" s="61">
        <f t="shared" ca="1" si="0"/>
        <v>62940</v>
      </c>
      <c r="H24" s="54"/>
      <c r="I24" s="54">
        <f ca="1">Sheet2!D13</f>
        <v>70981</v>
      </c>
      <c r="J24" s="54">
        <f t="shared" ca="1" si="1"/>
        <v>70981</v>
      </c>
      <c r="K24" s="61">
        <f t="shared" ca="1" si="2"/>
        <v>3519291</v>
      </c>
      <c r="L24" s="61"/>
      <c r="M24" s="61">
        <v>3155430</v>
      </c>
      <c r="N24" s="61">
        <f t="shared" si="3"/>
        <v>3155430</v>
      </c>
      <c r="O24" s="61">
        <f t="shared" ca="1" si="6"/>
        <v>-229940</v>
      </c>
      <c r="P24" s="794">
        <f ca="1">O24/D24</f>
        <v>-6.7921674735700974E-2</v>
      </c>
      <c r="Q24" s="61">
        <f t="shared" ca="1" si="4"/>
        <v>-363861</v>
      </c>
      <c r="R24" s="794">
        <f ca="1">Q24/K24</f>
        <v>-0.10339042721957349</v>
      </c>
      <c r="S24" s="967">
        <f t="shared" si="5"/>
        <v>3.6331092362527919E-3</v>
      </c>
    </row>
    <row r="25" spans="1:19" ht="7.5" customHeight="1" x14ac:dyDescent="0.2">
      <c r="A25" s="2"/>
      <c r="B25" s="54"/>
      <c r="C25" s="24"/>
      <c r="D25" s="61"/>
      <c r="E25" s="54"/>
      <c r="F25" s="24"/>
      <c r="G25" s="61">
        <f t="shared" si="0"/>
        <v>0</v>
      </c>
      <c r="H25" s="54"/>
      <c r="I25" s="24"/>
      <c r="J25" s="54">
        <f t="shared" si="1"/>
        <v>0</v>
      </c>
      <c r="K25" s="61">
        <f t="shared" si="2"/>
        <v>0</v>
      </c>
      <c r="L25" s="61"/>
      <c r="M25" s="61"/>
      <c r="N25" s="61">
        <f t="shared" si="3"/>
        <v>0</v>
      </c>
      <c r="O25" s="61">
        <f t="shared" si="6"/>
        <v>0</v>
      </c>
      <c r="P25" s="794"/>
      <c r="Q25" s="61">
        <f t="shared" si="4"/>
        <v>0</v>
      </c>
      <c r="R25" s="794"/>
      <c r="S25" s="967">
        <f t="shared" si="5"/>
        <v>0</v>
      </c>
    </row>
    <row r="26" spans="1:19" x14ac:dyDescent="0.2">
      <c r="A26" s="23" t="s">
        <v>60</v>
      </c>
      <c r="B26" s="33">
        <f>SUM(B27:B28)</f>
        <v>714000</v>
      </c>
      <c r="C26" s="33">
        <f ca="1">SUM(C27:C28)</f>
        <v>153000</v>
      </c>
      <c r="D26" s="33">
        <f ca="1">B26+C26</f>
        <v>867000</v>
      </c>
      <c r="E26" s="33">
        <f>SUM(E27:E28)</f>
        <v>218613</v>
      </c>
      <c r="F26" s="33">
        <f ca="1">SUM(F27:F28)</f>
        <v>0</v>
      </c>
      <c r="G26" s="33">
        <f t="shared" ca="1" si="0"/>
        <v>218613</v>
      </c>
      <c r="H26" s="33">
        <f>SUM(H27:H28)</f>
        <v>1025760</v>
      </c>
      <c r="I26" s="33">
        <f ca="1">SUM(I27:I28)</f>
        <v>0</v>
      </c>
      <c r="J26" s="33">
        <f t="shared" ca="1" si="1"/>
        <v>1025760</v>
      </c>
      <c r="K26" s="33">
        <f t="shared" ca="1" si="2"/>
        <v>2111373</v>
      </c>
      <c r="L26" s="33">
        <f>L27+L28</f>
        <v>676000</v>
      </c>
      <c r="M26" s="33">
        <f>M27+M28</f>
        <v>170000</v>
      </c>
      <c r="N26" s="33">
        <f t="shared" si="3"/>
        <v>846000</v>
      </c>
      <c r="O26" s="33">
        <f t="shared" ca="1" si="6"/>
        <v>-21000</v>
      </c>
      <c r="P26" s="804">
        <f ca="1">O26/D26</f>
        <v>-2.4221453287197232E-2</v>
      </c>
      <c r="Q26" s="33">
        <f t="shared" ca="1" si="4"/>
        <v>-1265373</v>
      </c>
      <c r="R26" s="804">
        <f ca="1">Q26/K26</f>
        <v>-0.59931286418837415</v>
      </c>
      <c r="S26" s="535">
        <f t="shared" si="5"/>
        <v>9.7407022620367488E-4</v>
      </c>
    </row>
    <row r="27" spans="1:19" x14ac:dyDescent="0.2">
      <c r="A27" s="26" t="s">
        <v>99</v>
      </c>
      <c r="B27" s="54">
        <f>'2.1 LK TULUD'!B37</f>
        <v>586000</v>
      </c>
      <c r="C27" s="27"/>
      <c r="D27" s="61">
        <f>B27+C27</f>
        <v>586000</v>
      </c>
      <c r="E27" s="54">
        <f>'2.1 LK TULUD'!C37</f>
        <v>0</v>
      </c>
      <c r="F27" s="27"/>
      <c r="G27" s="61">
        <f t="shared" si="0"/>
        <v>0</v>
      </c>
      <c r="H27" s="54">
        <f>'2.1 LK TULUD'!D37</f>
        <v>0</v>
      </c>
      <c r="I27" s="27"/>
      <c r="J27" s="54">
        <f t="shared" si="1"/>
        <v>0</v>
      </c>
      <c r="K27" s="61">
        <f t="shared" si="2"/>
        <v>586000</v>
      </c>
      <c r="L27" s="61">
        <v>636000</v>
      </c>
      <c r="M27" s="61"/>
      <c r="N27" s="61">
        <f t="shared" si="3"/>
        <v>636000</v>
      </c>
      <c r="O27" s="61">
        <f t="shared" si="6"/>
        <v>50000</v>
      </c>
      <c r="P27" s="794">
        <f>O27/D27</f>
        <v>8.5324232081911269E-2</v>
      </c>
      <c r="Q27" s="61">
        <f t="shared" si="4"/>
        <v>50000</v>
      </c>
      <c r="R27" s="794">
        <f>Q27/K27</f>
        <v>8.5324232081911269E-2</v>
      </c>
      <c r="S27" s="967">
        <f t="shared" si="5"/>
        <v>7.3227974452191164E-4</v>
      </c>
    </row>
    <row r="28" spans="1:19" x14ac:dyDescent="0.2">
      <c r="A28" s="26" t="s">
        <v>130</v>
      </c>
      <c r="B28" s="54">
        <f>'2.1 LK TULUD'!B41</f>
        <v>128000</v>
      </c>
      <c r="C28" s="54">
        <f ca="1">Sheet2!B12</f>
        <v>153000</v>
      </c>
      <c r="D28" s="61">
        <f ca="1">B28+C28</f>
        <v>281000</v>
      </c>
      <c r="E28" s="54">
        <f>'2.1 LK TULUD'!C41</f>
        <v>218613</v>
      </c>
      <c r="F28" s="54">
        <f ca="1">Sheet2!C12</f>
        <v>0</v>
      </c>
      <c r="G28" s="61">
        <f t="shared" ca="1" si="0"/>
        <v>218613</v>
      </c>
      <c r="H28" s="54">
        <f>'2.1 LK TULUD'!D41</f>
        <v>1025760</v>
      </c>
      <c r="I28" s="54">
        <f ca="1">Sheet2!D12</f>
        <v>0</v>
      </c>
      <c r="J28" s="54">
        <f t="shared" ca="1" si="1"/>
        <v>1025760</v>
      </c>
      <c r="K28" s="61">
        <f t="shared" ca="1" si="2"/>
        <v>1525373</v>
      </c>
      <c r="L28" s="61">
        <v>40000</v>
      </c>
      <c r="M28" s="61">
        <v>170000</v>
      </c>
      <c r="N28" s="61">
        <f t="shared" si="3"/>
        <v>210000</v>
      </c>
      <c r="O28" s="61">
        <f t="shared" ca="1" si="6"/>
        <v>-71000</v>
      </c>
      <c r="P28" s="794">
        <f ca="1">O28/D28</f>
        <v>-0.25266903914590749</v>
      </c>
      <c r="Q28" s="61">
        <f t="shared" ca="1" si="4"/>
        <v>-1315373</v>
      </c>
      <c r="R28" s="794">
        <f ca="1">Q28/K28</f>
        <v>-0.86232875499959682</v>
      </c>
      <c r="S28" s="967">
        <f t="shared" si="5"/>
        <v>2.4179048168176327E-4</v>
      </c>
    </row>
    <row r="29" spans="1:19" ht="8.25" customHeight="1" x14ac:dyDescent="0.2">
      <c r="A29" s="2"/>
      <c r="B29" s="54"/>
      <c r="C29" s="24"/>
      <c r="D29" s="61"/>
      <c r="E29" s="54"/>
      <c r="F29" s="24"/>
      <c r="G29" s="61">
        <f t="shared" si="0"/>
        <v>0</v>
      </c>
      <c r="H29" s="54"/>
      <c r="I29" s="24"/>
      <c r="J29" s="54">
        <f t="shared" si="1"/>
        <v>0</v>
      </c>
      <c r="K29" s="61">
        <f t="shared" si="2"/>
        <v>0</v>
      </c>
      <c r="L29" s="61"/>
      <c r="M29" s="61"/>
      <c r="N29" s="61">
        <f t="shared" si="3"/>
        <v>0</v>
      </c>
      <c r="O29" s="61">
        <f t="shared" si="6"/>
        <v>0</v>
      </c>
      <c r="P29" s="794"/>
      <c r="Q29" s="61">
        <f t="shared" si="4"/>
        <v>0</v>
      </c>
      <c r="R29" s="794"/>
      <c r="S29" s="967">
        <f t="shared" si="5"/>
        <v>0</v>
      </c>
    </row>
    <row r="30" spans="1:19" x14ac:dyDescent="0.2">
      <c r="A30" s="23" t="s">
        <v>61</v>
      </c>
      <c r="B30" s="33">
        <f>B31+B32</f>
        <v>258000</v>
      </c>
      <c r="C30" s="7"/>
      <c r="D30" s="33">
        <f>B30+C30</f>
        <v>258000</v>
      </c>
      <c r="E30" s="33">
        <f>E31+E32</f>
        <v>0</v>
      </c>
      <c r="F30" s="7"/>
      <c r="G30" s="33">
        <f t="shared" si="0"/>
        <v>0</v>
      </c>
      <c r="H30" s="33">
        <f>H31+H32</f>
        <v>0</v>
      </c>
      <c r="I30" s="7"/>
      <c r="J30" s="33">
        <f t="shared" si="1"/>
        <v>0</v>
      </c>
      <c r="K30" s="33">
        <f t="shared" si="2"/>
        <v>258000</v>
      </c>
      <c r="L30" s="33">
        <f>L31+L32</f>
        <v>297000</v>
      </c>
      <c r="M30" s="33"/>
      <c r="N30" s="33">
        <f t="shared" si="3"/>
        <v>297000</v>
      </c>
      <c r="O30" s="33">
        <f t="shared" si="6"/>
        <v>39000</v>
      </c>
      <c r="P30" s="804">
        <f>O30/D30</f>
        <v>0.15116279069767441</v>
      </c>
      <c r="Q30" s="33">
        <f t="shared" si="4"/>
        <v>39000</v>
      </c>
      <c r="R30" s="804">
        <f>Q30/K30</f>
        <v>0.15116279069767441</v>
      </c>
      <c r="S30" s="535">
        <f t="shared" si="5"/>
        <v>3.4196082409277946E-4</v>
      </c>
    </row>
    <row r="31" spans="1:19" x14ac:dyDescent="0.2">
      <c r="A31" s="26" t="s">
        <v>100</v>
      </c>
      <c r="B31" s="54">
        <f>'2.1 LK TULUD'!B63</f>
        <v>6000</v>
      </c>
      <c r="C31" s="27"/>
      <c r="D31" s="61">
        <f>B31+C31</f>
        <v>6000</v>
      </c>
      <c r="E31" s="54">
        <f>'2.1 LK TULUD'!C63</f>
        <v>0</v>
      </c>
      <c r="F31" s="27"/>
      <c r="G31" s="61">
        <f t="shared" si="0"/>
        <v>0</v>
      </c>
      <c r="H31" s="54">
        <f>'2.1 LK TULUD'!D63</f>
        <v>0</v>
      </c>
      <c r="I31" s="27"/>
      <c r="J31" s="54">
        <f t="shared" si="1"/>
        <v>0</v>
      </c>
      <c r="K31" s="61">
        <f t="shared" si="2"/>
        <v>6000</v>
      </c>
      <c r="L31" s="61">
        <v>6000</v>
      </c>
      <c r="M31" s="61"/>
      <c r="N31" s="61">
        <f t="shared" si="3"/>
        <v>6000</v>
      </c>
      <c r="O31" s="61">
        <f t="shared" si="6"/>
        <v>0</v>
      </c>
      <c r="P31" s="794">
        <f>O31/D31</f>
        <v>0</v>
      </c>
      <c r="Q31" s="61">
        <f t="shared" si="4"/>
        <v>0</v>
      </c>
      <c r="R31" s="794">
        <f>Q31/K31</f>
        <v>0</v>
      </c>
      <c r="S31" s="967">
        <f t="shared" si="5"/>
        <v>6.9082994766218075E-6</v>
      </c>
    </row>
    <row r="32" spans="1:19" s="56" customFormat="1" x14ac:dyDescent="0.2">
      <c r="A32" s="64" t="s">
        <v>812</v>
      </c>
      <c r="B32" s="54">
        <f>'2.1 LK TULUD'!B65</f>
        <v>252000</v>
      </c>
      <c r="C32" s="27"/>
      <c r="D32" s="61">
        <f>B32+C32</f>
        <v>252000</v>
      </c>
      <c r="E32" s="54">
        <f>'2.1 LK TULUD'!C65</f>
        <v>0</v>
      </c>
      <c r="F32" s="27"/>
      <c r="G32" s="61">
        <f t="shared" si="0"/>
        <v>0</v>
      </c>
      <c r="H32" s="54">
        <f>'2.1 LK TULUD'!D65</f>
        <v>0</v>
      </c>
      <c r="I32" s="27"/>
      <c r="J32" s="54">
        <f t="shared" si="1"/>
        <v>0</v>
      </c>
      <c r="K32" s="61">
        <f t="shared" si="2"/>
        <v>252000</v>
      </c>
      <c r="L32" s="61">
        <v>291000</v>
      </c>
      <c r="M32" s="61"/>
      <c r="N32" s="61">
        <f t="shared" si="3"/>
        <v>291000</v>
      </c>
      <c r="O32" s="61">
        <f t="shared" si="6"/>
        <v>39000</v>
      </c>
      <c r="P32" s="794">
        <f>O32/D32</f>
        <v>0.15476190476190477</v>
      </c>
      <c r="Q32" s="61">
        <f t="shared" si="4"/>
        <v>39000</v>
      </c>
      <c r="R32" s="794">
        <f>Q32/K32</f>
        <v>0.15476190476190477</v>
      </c>
      <c r="S32" s="967">
        <f t="shared" si="5"/>
        <v>3.3505252461615766E-4</v>
      </c>
    </row>
    <row r="33" spans="1:19" ht="9" customHeight="1" x14ac:dyDescent="0.2">
      <c r="A33" s="2"/>
      <c r="B33" s="54"/>
      <c r="C33" s="24"/>
      <c r="D33" s="61"/>
      <c r="E33" s="54"/>
      <c r="F33" s="24"/>
      <c r="G33" s="61">
        <f t="shared" si="0"/>
        <v>0</v>
      </c>
      <c r="H33" s="54"/>
      <c r="I33" s="24"/>
      <c r="J33" s="54">
        <f t="shared" si="1"/>
        <v>0</v>
      </c>
      <c r="K33" s="61">
        <f t="shared" si="2"/>
        <v>0</v>
      </c>
      <c r="L33" s="61"/>
      <c r="M33" s="61"/>
      <c r="N33" s="61">
        <f t="shared" si="3"/>
        <v>0</v>
      </c>
      <c r="O33" s="61">
        <f t="shared" si="6"/>
        <v>0</v>
      </c>
      <c r="P33" s="794"/>
      <c r="Q33" s="61">
        <f t="shared" si="4"/>
        <v>0</v>
      </c>
      <c r="R33" s="794"/>
      <c r="S33" s="967">
        <f t="shared" si="5"/>
        <v>0</v>
      </c>
    </row>
    <row r="34" spans="1:19" x14ac:dyDescent="0.2">
      <c r="A34" s="23" t="s">
        <v>101</v>
      </c>
      <c r="B34" s="33">
        <f>SUM(B35:B38)</f>
        <v>734527</v>
      </c>
      <c r="C34" s="7"/>
      <c r="D34" s="33">
        <f>B34+C34</f>
        <v>734527</v>
      </c>
      <c r="E34" s="33">
        <f>SUM(E35:E38)</f>
        <v>37585</v>
      </c>
      <c r="F34" s="7">
        <f>F35+F36</f>
        <v>5000</v>
      </c>
      <c r="G34" s="33">
        <f t="shared" si="0"/>
        <v>42585</v>
      </c>
      <c r="H34" s="33">
        <f>H36</f>
        <v>-3300</v>
      </c>
      <c r="I34" s="33">
        <f ca="1">I36</f>
        <v>-1000</v>
      </c>
      <c r="J34" s="33">
        <f t="shared" ca="1" si="1"/>
        <v>-4300</v>
      </c>
      <c r="K34" s="33">
        <f t="shared" ca="1" si="2"/>
        <v>772812</v>
      </c>
      <c r="L34" s="33">
        <f>SUM(L35:L38)</f>
        <v>474100</v>
      </c>
      <c r="M34" s="33">
        <f>M35+M36+M37+M38</f>
        <v>3500</v>
      </c>
      <c r="N34" s="33">
        <f t="shared" si="3"/>
        <v>477600</v>
      </c>
      <c r="O34" s="33">
        <f t="shared" si="6"/>
        <v>-256927</v>
      </c>
      <c r="P34" s="804">
        <f>O34/D34</f>
        <v>-0.34978564436705528</v>
      </c>
      <c r="Q34" s="33">
        <f t="shared" ca="1" si="4"/>
        <v>-295212</v>
      </c>
      <c r="R34" s="804">
        <f ca="1">Q34/K34</f>
        <v>-0.38199717395692612</v>
      </c>
      <c r="S34" s="535">
        <f t="shared" si="5"/>
        <v>5.4990063833909586E-4</v>
      </c>
    </row>
    <row r="35" spans="1:19" x14ac:dyDescent="0.2">
      <c r="A35" s="26" t="s">
        <v>113</v>
      </c>
      <c r="B35" s="54">
        <f>'2.1 LK TULUD'!B68</f>
        <v>959100</v>
      </c>
      <c r="C35" s="24"/>
      <c r="D35" s="61">
        <f>B35+C35</f>
        <v>959100</v>
      </c>
      <c r="E35" s="54">
        <f>'2.1 LK TULUD'!C68</f>
        <v>-24000</v>
      </c>
      <c r="F35" s="24"/>
      <c r="G35" s="61">
        <f t="shared" si="0"/>
        <v>-24000</v>
      </c>
      <c r="H35" s="54">
        <f>'2.1 LK TULUD'!D68</f>
        <v>0</v>
      </c>
      <c r="I35" s="24"/>
      <c r="J35" s="54">
        <f t="shared" si="1"/>
        <v>0</v>
      </c>
      <c r="K35" s="61">
        <f t="shared" si="2"/>
        <v>935100</v>
      </c>
      <c r="L35" s="61">
        <v>650000</v>
      </c>
      <c r="M35" s="61"/>
      <c r="N35" s="61">
        <f t="shared" si="3"/>
        <v>650000</v>
      </c>
      <c r="O35" s="61">
        <f t="shared" si="6"/>
        <v>-309100</v>
      </c>
      <c r="P35" s="794">
        <f>O35/D35</f>
        <v>-0.32228130539047023</v>
      </c>
      <c r="Q35" s="61">
        <f t="shared" si="4"/>
        <v>-285100</v>
      </c>
      <c r="R35" s="794">
        <f>Q35/K35</f>
        <v>-0.30488717784194203</v>
      </c>
      <c r="S35" s="967">
        <f t="shared" si="5"/>
        <v>7.4839910996736254E-4</v>
      </c>
    </row>
    <row r="36" spans="1:19" s="486" customFormat="1" x14ac:dyDescent="0.2">
      <c r="A36" s="64" t="s">
        <v>813</v>
      </c>
      <c r="B36" s="54"/>
      <c r="C36" s="24"/>
      <c r="D36" s="61"/>
      <c r="E36" s="54">
        <f>'2.1 LK TULUD'!C71+39500</f>
        <v>61585</v>
      </c>
      <c r="F36" s="24">
        <v>5000</v>
      </c>
      <c r="G36" s="61">
        <f t="shared" si="0"/>
        <v>66585</v>
      </c>
      <c r="H36" s="54">
        <f>'2.1 LK TULUD'!D77</f>
        <v>-3300</v>
      </c>
      <c r="I36" s="61">
        <f ca="1">Sheet2!D17</f>
        <v>-1000</v>
      </c>
      <c r="J36" s="54">
        <f ca="1">H36+I36-2000</f>
        <v>-6300</v>
      </c>
      <c r="K36" s="61">
        <f t="shared" ca="1" si="2"/>
        <v>60285</v>
      </c>
      <c r="L36" s="61">
        <v>54100</v>
      </c>
      <c r="M36" s="61">
        <v>3500</v>
      </c>
      <c r="N36" s="61">
        <f t="shared" si="3"/>
        <v>57600</v>
      </c>
      <c r="O36" s="61">
        <f t="shared" si="6"/>
        <v>57600</v>
      </c>
      <c r="P36" s="794"/>
      <c r="Q36" s="61">
        <f t="shared" ca="1" si="4"/>
        <v>-2685</v>
      </c>
      <c r="R36" s="794">
        <f ca="1">Q36/K36</f>
        <v>-4.4538442398606617E-2</v>
      </c>
      <c r="S36" s="967">
        <f t="shared" si="5"/>
        <v>6.631967497556936E-5</v>
      </c>
    </row>
    <row r="37" spans="1:19" x14ac:dyDescent="0.2">
      <c r="A37" s="26" t="s">
        <v>30</v>
      </c>
      <c r="B37" s="54">
        <f>'2.1 LK TULUD'!B75</f>
        <v>-214573</v>
      </c>
      <c r="C37" s="24"/>
      <c r="D37" s="61">
        <f>B37+C37</f>
        <v>-214573</v>
      </c>
      <c r="E37" s="54">
        <f>'2.1 LK TULUD'!C75</f>
        <v>0</v>
      </c>
      <c r="F37" s="24"/>
      <c r="G37" s="61">
        <f t="shared" si="0"/>
        <v>0</v>
      </c>
      <c r="H37" s="54">
        <f>'2.1 LK TULUD'!D75</f>
        <v>0</v>
      </c>
      <c r="I37" s="24"/>
      <c r="J37" s="54">
        <f t="shared" si="1"/>
        <v>0</v>
      </c>
      <c r="K37" s="61">
        <f t="shared" si="2"/>
        <v>-214573</v>
      </c>
      <c r="L37" s="61">
        <v>-220000</v>
      </c>
      <c r="M37" s="61"/>
      <c r="N37" s="61">
        <f t="shared" si="3"/>
        <v>-220000</v>
      </c>
      <c r="O37" s="61">
        <f t="shared" si="6"/>
        <v>-5427</v>
      </c>
      <c r="P37" s="794">
        <f>O37/D37</f>
        <v>2.52920917356797E-2</v>
      </c>
      <c r="Q37" s="61">
        <f t="shared" si="4"/>
        <v>-5427</v>
      </c>
      <c r="R37" s="794">
        <f>Q37/K37</f>
        <v>2.52920917356797E-2</v>
      </c>
      <c r="S37" s="967">
        <f t="shared" si="5"/>
        <v>-2.533043141427996E-4</v>
      </c>
    </row>
    <row r="38" spans="1:19" x14ac:dyDescent="0.2">
      <c r="A38" s="26" t="s">
        <v>64</v>
      </c>
      <c r="B38" s="54">
        <f>'2.1 LK TULUD'!B76</f>
        <v>-10000</v>
      </c>
      <c r="C38" s="24"/>
      <c r="D38" s="61">
        <f>B38+C38</f>
        <v>-10000</v>
      </c>
      <c r="E38" s="54">
        <f>'2.1 LK TULUD'!C76</f>
        <v>0</v>
      </c>
      <c r="F38" s="24"/>
      <c r="G38" s="61">
        <f t="shared" si="0"/>
        <v>0</v>
      </c>
      <c r="H38" s="54">
        <f>'2.1 LK TULUD'!D76</f>
        <v>0</v>
      </c>
      <c r="I38" s="24"/>
      <c r="J38" s="54">
        <f t="shared" si="1"/>
        <v>0</v>
      </c>
      <c r="K38" s="61">
        <f t="shared" si="2"/>
        <v>-10000</v>
      </c>
      <c r="L38" s="61">
        <v>-10000</v>
      </c>
      <c r="M38" s="61"/>
      <c r="N38" s="61">
        <f t="shared" si="3"/>
        <v>-10000</v>
      </c>
      <c r="O38" s="61">
        <f t="shared" si="6"/>
        <v>0</v>
      </c>
      <c r="P38" s="794">
        <f>O38/D38</f>
        <v>0</v>
      </c>
      <c r="Q38" s="61">
        <f t="shared" si="4"/>
        <v>0</v>
      </c>
      <c r="R38" s="794">
        <f>Q38/K38</f>
        <v>0</v>
      </c>
      <c r="S38" s="967">
        <f t="shared" si="5"/>
        <v>-1.1513832461036346E-5</v>
      </c>
    </row>
    <row r="39" spans="1:19" ht="9" customHeight="1" x14ac:dyDescent="0.2">
      <c r="A39" s="2"/>
      <c r="B39" s="54"/>
      <c r="C39" s="24"/>
      <c r="D39" s="61"/>
      <c r="E39" s="54"/>
      <c r="F39" s="24"/>
      <c r="G39" s="61">
        <f t="shared" si="0"/>
        <v>0</v>
      </c>
      <c r="H39" s="54"/>
      <c r="I39" s="24"/>
      <c r="J39" s="54">
        <f t="shared" si="1"/>
        <v>0</v>
      </c>
      <c r="K39" s="61">
        <f t="shared" si="2"/>
        <v>0</v>
      </c>
      <c r="L39" s="61"/>
      <c r="M39" s="61"/>
      <c r="N39" s="61">
        <f t="shared" si="3"/>
        <v>0</v>
      </c>
      <c r="O39" s="61">
        <f t="shared" si="6"/>
        <v>0</v>
      </c>
      <c r="P39" s="794"/>
      <c r="Q39" s="61">
        <f t="shared" si="4"/>
        <v>0</v>
      </c>
      <c r="R39" s="794"/>
      <c r="S39" s="967">
        <f t="shared" si="5"/>
        <v>0</v>
      </c>
    </row>
    <row r="40" spans="1:19" x14ac:dyDescent="0.2">
      <c r="A40" s="23" t="s">
        <v>65</v>
      </c>
      <c r="B40" s="33">
        <f>SUM(B41:B43)</f>
        <v>506500</v>
      </c>
      <c r="C40" s="7">
        <f ca="1">C43</f>
        <v>5000</v>
      </c>
      <c r="D40" s="33">
        <f ca="1">B40+C40</f>
        <v>511500</v>
      </c>
      <c r="E40" s="33">
        <f>SUM(E41:E43)</f>
        <v>-40267</v>
      </c>
      <c r="F40" s="7">
        <f ca="1">F43</f>
        <v>-5000</v>
      </c>
      <c r="G40" s="33">
        <f t="shared" ca="1" si="0"/>
        <v>-45267</v>
      </c>
      <c r="H40" s="33">
        <f>H41+H42+H43</f>
        <v>1373</v>
      </c>
      <c r="I40" s="33">
        <f>I41+I42+I43</f>
        <v>0</v>
      </c>
      <c r="J40" s="54">
        <f t="shared" si="1"/>
        <v>1373</v>
      </c>
      <c r="K40" s="33">
        <f t="shared" ca="1" si="2"/>
        <v>467606</v>
      </c>
      <c r="L40" s="33">
        <f>SUM(L41:L43)</f>
        <v>467000</v>
      </c>
      <c r="M40" s="33"/>
      <c r="N40" s="33">
        <f t="shared" si="3"/>
        <v>467000</v>
      </c>
      <c r="O40" s="33">
        <f t="shared" ca="1" si="6"/>
        <v>-44500</v>
      </c>
      <c r="P40" s="804">
        <f ca="1">O40/D40</f>
        <v>-8.6999022482893457E-2</v>
      </c>
      <c r="Q40" s="33">
        <f t="shared" ca="1" si="4"/>
        <v>-606</v>
      </c>
      <c r="R40" s="804">
        <f ca="1">Q40/K40</f>
        <v>-1.2959628405110285E-3</v>
      </c>
      <c r="S40" s="535">
        <f t="shared" si="5"/>
        <v>5.376959759303974E-4</v>
      </c>
    </row>
    <row r="41" spans="1:19" x14ac:dyDescent="0.2">
      <c r="A41" s="64" t="s">
        <v>140</v>
      </c>
      <c r="B41" s="54">
        <f>'2.1 LK TULUD'!B84</f>
        <v>400000</v>
      </c>
      <c r="C41" s="27"/>
      <c r="D41" s="61">
        <f>B41+C41</f>
        <v>400000</v>
      </c>
      <c r="E41" s="54">
        <f>'2.1 LK TULUD'!C84</f>
        <v>0</v>
      </c>
      <c r="F41" s="27"/>
      <c r="G41" s="61">
        <f t="shared" si="0"/>
        <v>0</v>
      </c>
      <c r="H41" s="54">
        <f>'2.1 LK TULUD'!D84</f>
        <v>0</v>
      </c>
      <c r="I41" s="27"/>
      <c r="J41" s="54">
        <f t="shared" si="1"/>
        <v>0</v>
      </c>
      <c r="K41" s="61">
        <f t="shared" si="2"/>
        <v>400000</v>
      </c>
      <c r="L41" s="61">
        <v>400000</v>
      </c>
      <c r="M41" s="61"/>
      <c r="N41" s="61">
        <f t="shared" si="3"/>
        <v>400000</v>
      </c>
      <c r="O41" s="61">
        <f t="shared" si="6"/>
        <v>0</v>
      </c>
      <c r="P41" s="794">
        <f>O41/D41</f>
        <v>0</v>
      </c>
      <c r="Q41" s="61">
        <f t="shared" si="4"/>
        <v>0</v>
      </c>
      <c r="R41" s="794">
        <f>Q41/K41</f>
        <v>0</v>
      </c>
      <c r="S41" s="967">
        <f t="shared" si="5"/>
        <v>4.6055329844145383E-4</v>
      </c>
    </row>
    <row r="42" spans="1:19" x14ac:dyDescent="0.2">
      <c r="A42" s="26" t="s">
        <v>51</v>
      </c>
      <c r="B42" s="54">
        <f>'2.1 LK TULUD'!B86</f>
        <v>67000</v>
      </c>
      <c r="C42" s="27"/>
      <c r="D42" s="61">
        <f>B42+C42</f>
        <v>67000</v>
      </c>
      <c r="E42" s="54">
        <f>'2.1 LK TULUD'!C86</f>
        <v>1233</v>
      </c>
      <c r="F42" s="27"/>
      <c r="G42" s="61">
        <f t="shared" si="0"/>
        <v>1233</v>
      </c>
      <c r="H42" s="54">
        <f>'2.1 LK TULUD'!D86</f>
        <v>1373</v>
      </c>
      <c r="I42" s="27"/>
      <c r="J42" s="54">
        <f t="shared" si="1"/>
        <v>1373</v>
      </c>
      <c r="K42" s="61">
        <f t="shared" si="2"/>
        <v>69606</v>
      </c>
      <c r="L42" s="61">
        <v>67000</v>
      </c>
      <c r="M42" s="61"/>
      <c r="N42" s="61">
        <f t="shared" si="3"/>
        <v>67000</v>
      </c>
      <c r="O42" s="61">
        <f t="shared" si="6"/>
        <v>0</v>
      </c>
      <c r="P42" s="794">
        <f>O42/D42</f>
        <v>0</v>
      </c>
      <c r="Q42" s="61">
        <f t="shared" si="4"/>
        <v>-2606</v>
      </c>
      <c r="R42" s="794">
        <f>Q42/K42</f>
        <v>-3.7439301209665835E-2</v>
      </c>
      <c r="S42" s="967">
        <f t="shared" si="5"/>
        <v>7.7142677488943527E-5</v>
      </c>
    </row>
    <row r="43" spans="1:19" s="56" customFormat="1" x14ac:dyDescent="0.2">
      <c r="A43" s="64" t="s">
        <v>813</v>
      </c>
      <c r="B43" s="54">
        <f>'2.1 LK TULUD'!B77</f>
        <v>39500</v>
      </c>
      <c r="C43" s="61">
        <f ca="1">Sheet2!B17</f>
        <v>5000</v>
      </c>
      <c r="D43" s="61">
        <f ca="1">B43+C43</f>
        <v>44500</v>
      </c>
      <c r="E43" s="54">
        <f>'2.1 LK TULUD'!C77-39500</f>
        <v>-41500</v>
      </c>
      <c r="F43" s="61">
        <f ca="1">Sheet2!C17-5000</f>
        <v>-5000</v>
      </c>
      <c r="G43" s="61">
        <f t="shared" ca="1" si="0"/>
        <v>-46500</v>
      </c>
      <c r="J43" s="54">
        <f>H43+I43+2000</f>
        <v>2000</v>
      </c>
      <c r="K43" s="61">
        <f t="shared" ca="1" si="2"/>
        <v>0</v>
      </c>
      <c r="L43" s="61"/>
      <c r="M43" s="61"/>
      <c r="N43" s="61">
        <f t="shared" si="3"/>
        <v>0</v>
      </c>
      <c r="O43" s="61">
        <f t="shared" ca="1" si="6"/>
        <v>-44500</v>
      </c>
      <c r="P43" s="794">
        <f ca="1">O43/D43</f>
        <v>-1</v>
      </c>
      <c r="Q43" s="61">
        <f t="shared" si="4"/>
        <v>0</v>
      </c>
      <c r="R43" s="794"/>
      <c r="S43" s="967">
        <f t="shared" si="5"/>
        <v>0</v>
      </c>
    </row>
    <row r="44" spans="1:19" ht="8.25" customHeight="1" x14ac:dyDescent="0.2">
      <c r="A44" s="2"/>
      <c r="B44" s="54"/>
      <c r="C44" s="24"/>
      <c r="D44" s="61"/>
      <c r="E44" s="54"/>
      <c r="F44" s="24"/>
      <c r="G44" s="61">
        <f t="shared" si="0"/>
        <v>0</v>
      </c>
      <c r="H44" s="54"/>
      <c r="I44" s="24"/>
      <c r="J44" s="54">
        <f t="shared" si="1"/>
        <v>0</v>
      </c>
      <c r="K44" s="61">
        <f t="shared" si="2"/>
        <v>0</v>
      </c>
      <c r="L44" s="61"/>
      <c r="M44" s="61"/>
      <c r="N44" s="61">
        <f t="shared" si="3"/>
        <v>0</v>
      </c>
      <c r="O44" s="61">
        <f t="shared" si="6"/>
        <v>0</v>
      </c>
      <c r="P44" s="794"/>
      <c r="Q44" s="61">
        <f t="shared" si="4"/>
        <v>0</v>
      </c>
      <c r="R44" s="794"/>
      <c r="S44" s="967">
        <f t="shared" si="5"/>
        <v>0</v>
      </c>
    </row>
    <row r="45" spans="1:19" x14ac:dyDescent="0.2">
      <c r="A45" s="23" t="s">
        <v>66</v>
      </c>
      <c r="B45" s="7">
        <f>'2.1 LK TULUD'!B90</f>
        <v>7800000</v>
      </c>
      <c r="C45" s="7"/>
      <c r="D45" s="7">
        <f>B45+C45</f>
        <v>7800000</v>
      </c>
      <c r="E45" s="7">
        <f>'2.1 LK TULUD'!C90</f>
        <v>2157463</v>
      </c>
      <c r="F45" s="7"/>
      <c r="G45" s="7">
        <f t="shared" si="0"/>
        <v>2157463</v>
      </c>
      <c r="H45" s="7">
        <f>'2.1 LK TULUD'!D90</f>
        <v>0</v>
      </c>
      <c r="I45" s="7"/>
      <c r="J45" s="54">
        <f t="shared" si="1"/>
        <v>0</v>
      </c>
      <c r="K45" s="7">
        <f t="shared" si="2"/>
        <v>9957463</v>
      </c>
      <c r="L45" s="7">
        <f>'2.1 LK TULUD'!F90</f>
        <v>8600000</v>
      </c>
      <c r="M45" s="7"/>
      <c r="N45" s="7">
        <f t="shared" si="3"/>
        <v>8600000</v>
      </c>
      <c r="O45" s="7">
        <f t="shared" si="6"/>
        <v>800000</v>
      </c>
      <c r="P45" s="803">
        <f>O45/D45</f>
        <v>0.10256410256410256</v>
      </c>
      <c r="Q45" s="7">
        <f t="shared" si="4"/>
        <v>-1357463</v>
      </c>
      <c r="R45" s="803">
        <f>Q45/K45</f>
        <v>-0.13632619071745483</v>
      </c>
      <c r="S45" s="968">
        <f t="shared" si="5"/>
        <v>9.9018959164912587E-3</v>
      </c>
    </row>
    <row r="46" spans="1:19" ht="8.25" customHeight="1" x14ac:dyDescent="0.2">
      <c r="A46" s="23"/>
      <c r="B46" s="54"/>
      <c r="C46" s="7"/>
      <c r="D46" s="61"/>
      <c r="E46" s="54"/>
      <c r="F46" s="7"/>
      <c r="G46" s="61">
        <f t="shared" si="0"/>
        <v>0</v>
      </c>
      <c r="H46" s="54"/>
      <c r="I46" s="7"/>
      <c r="J46" s="54">
        <f t="shared" si="1"/>
        <v>0</v>
      </c>
      <c r="K46" s="61">
        <f t="shared" si="2"/>
        <v>0</v>
      </c>
      <c r="L46" s="61"/>
      <c r="M46" s="61"/>
      <c r="N46" s="61">
        <f t="shared" si="3"/>
        <v>0</v>
      </c>
      <c r="O46" s="61">
        <f t="shared" si="6"/>
        <v>0</v>
      </c>
      <c r="P46" s="794"/>
      <c r="Q46" s="61">
        <f t="shared" si="4"/>
        <v>0</v>
      </c>
      <c r="R46" s="794"/>
      <c r="S46" s="967">
        <f t="shared" si="5"/>
        <v>0</v>
      </c>
    </row>
    <row r="47" spans="1:19" x14ac:dyDescent="0.2">
      <c r="A47" s="34" t="s">
        <v>102</v>
      </c>
      <c r="B47" s="33">
        <f>B7+B18+B20+B26+B30+B34+B40+B45</f>
        <v>531539663</v>
      </c>
      <c r="C47" s="33">
        <f ca="1">C7+C18+C20+C26+C30+C34+C40+C45</f>
        <v>89093898</v>
      </c>
      <c r="D47" s="33">
        <f ca="1">D7+D18+D20+D26+D30+D34+D40+D45</f>
        <v>620633561</v>
      </c>
      <c r="E47" s="33">
        <f>E7+E18+E20+E26+E30+E34+E40+E45</f>
        <v>12073394</v>
      </c>
      <c r="F47" s="33">
        <f ca="1">+F20+F26+F30+F34+F40+F45</f>
        <v>-6118096</v>
      </c>
      <c r="G47" s="33">
        <f t="shared" ca="1" si="0"/>
        <v>5955298</v>
      </c>
      <c r="H47" s="33">
        <f>H7+H18+H20+H26+H30+H34+H40+H45</f>
        <v>6693833</v>
      </c>
      <c r="I47" s="33">
        <f ca="1">+I20+I26+I30+I34+I40+I45</f>
        <v>-1095134</v>
      </c>
      <c r="J47" s="33">
        <f t="shared" ca="1" si="1"/>
        <v>5598699</v>
      </c>
      <c r="K47" s="33">
        <f t="shared" ca="1" si="2"/>
        <v>632187558</v>
      </c>
      <c r="L47" s="33">
        <f>L7+L18+L20+L26+L30+L34+L40+L45</f>
        <v>605229124</v>
      </c>
      <c r="M47" s="33">
        <f>M7+M18+M20+M26+M30+M34+M40+M45</f>
        <v>89458539</v>
      </c>
      <c r="N47" s="33">
        <f t="shared" si="3"/>
        <v>694687663</v>
      </c>
      <c r="O47" s="33">
        <f t="shared" ca="1" si="6"/>
        <v>74054102</v>
      </c>
      <c r="P47" s="804">
        <f ca="1">O47/D47</f>
        <v>0.11932016998996933</v>
      </c>
      <c r="Q47" s="33">
        <f t="shared" ca="1" si="4"/>
        <v>62500105</v>
      </c>
      <c r="R47" s="804">
        <f ca="1">Q47/K47</f>
        <v>9.8863231661386164E-2</v>
      </c>
      <c r="S47" s="535">
        <f t="shared" si="5"/>
        <v>0.79985173645308782</v>
      </c>
    </row>
    <row r="48" spans="1:19" ht="7.5" customHeight="1" x14ac:dyDescent="0.2">
      <c r="A48" s="23"/>
      <c r="B48" s="54"/>
      <c r="C48" s="7"/>
      <c r="D48" s="61"/>
      <c r="E48" s="54"/>
      <c r="F48" s="7"/>
      <c r="G48" s="61">
        <f t="shared" si="0"/>
        <v>0</v>
      </c>
      <c r="H48" s="54"/>
      <c r="I48" s="7"/>
      <c r="J48" s="54">
        <f t="shared" si="1"/>
        <v>0</v>
      </c>
      <c r="K48" s="61">
        <f t="shared" si="2"/>
        <v>0</v>
      </c>
      <c r="L48" s="61"/>
      <c r="M48" s="61"/>
      <c r="N48" s="61">
        <f t="shared" si="3"/>
        <v>0</v>
      </c>
      <c r="O48" s="61">
        <f t="shared" si="6"/>
        <v>0</v>
      </c>
      <c r="P48" s="794"/>
      <c r="Q48" s="61">
        <f t="shared" si="4"/>
        <v>0</v>
      </c>
      <c r="R48" s="794"/>
      <c r="S48" s="967">
        <f t="shared" si="5"/>
        <v>0</v>
      </c>
    </row>
    <row r="49" spans="1:19" x14ac:dyDescent="0.2">
      <c r="A49" s="23" t="s">
        <v>103</v>
      </c>
      <c r="B49" s="33">
        <f>SUM(B50:B52)</f>
        <v>10040951</v>
      </c>
      <c r="C49" s="33">
        <f>SUM(C50:C52)</f>
        <v>134563071</v>
      </c>
      <c r="D49" s="33">
        <f>B49+C49</f>
        <v>144604022</v>
      </c>
      <c r="E49" s="33">
        <f>SUM(E50:E52)</f>
        <v>13605348</v>
      </c>
      <c r="F49" s="33">
        <f>SUM(F50:F52)</f>
        <v>1710595</v>
      </c>
      <c r="G49" s="33">
        <f t="shared" si="0"/>
        <v>15315943</v>
      </c>
      <c r="H49" s="33">
        <f>SUM(H50:H52)</f>
        <v>-2111489</v>
      </c>
      <c r="I49" s="33">
        <f>SUM(I50:I52)</f>
        <v>594501</v>
      </c>
      <c r="J49" s="33">
        <f t="shared" si="1"/>
        <v>-1516988</v>
      </c>
      <c r="K49" s="33">
        <f t="shared" si="2"/>
        <v>158402977</v>
      </c>
      <c r="L49" s="33">
        <v>31468054.170000002</v>
      </c>
      <c r="M49" s="33">
        <v>142364824</v>
      </c>
      <c r="N49" s="33">
        <f>L49+M49</f>
        <v>173832878.17000002</v>
      </c>
      <c r="O49" s="33">
        <f t="shared" si="6"/>
        <v>29228856.170000017</v>
      </c>
      <c r="P49" s="804">
        <f>O49/D49</f>
        <v>0.20213031259946571</v>
      </c>
      <c r="Q49" s="33">
        <f t="shared" si="4"/>
        <v>15429901.170000017</v>
      </c>
      <c r="R49" s="804">
        <f>Q49/K49</f>
        <v>9.7409161508372519E-2</v>
      </c>
      <c r="S49" s="535">
        <f t="shared" si="5"/>
        <v>0.20014826354691226</v>
      </c>
    </row>
    <row r="50" spans="1:19" x14ac:dyDescent="0.2">
      <c r="A50" s="2" t="s">
        <v>104</v>
      </c>
      <c r="B50" s="54">
        <f>'2.3 TOETUSED'!B25</f>
        <v>5360011</v>
      </c>
      <c r="C50" s="24">
        <f>'2.3 TOETUSED'!B6</f>
        <v>126920774</v>
      </c>
      <c r="D50" s="61">
        <f>B50+C50</f>
        <v>132280785</v>
      </c>
      <c r="E50" s="54">
        <f>'2.3 TOETUSED'!C25+'2.3 TOETUSED'!C39</f>
        <v>13911825</v>
      </c>
      <c r="F50" s="24">
        <f>'2.3 TOETUSED'!C6</f>
        <v>2806304</v>
      </c>
      <c r="G50" s="61">
        <f t="shared" si="0"/>
        <v>16718129</v>
      </c>
      <c r="H50" s="54">
        <f>'2.3 TOETUSED'!D25+'2.3 TOETUSED'!D39</f>
        <v>-735200</v>
      </c>
      <c r="I50" s="24">
        <f>'2.3 TOETUSED'!D6</f>
        <v>594501</v>
      </c>
      <c r="J50" s="54">
        <f t="shared" si="1"/>
        <v>-140699</v>
      </c>
      <c r="K50" s="61">
        <f t="shared" si="2"/>
        <v>148858215</v>
      </c>
      <c r="L50" s="61">
        <v>11842853</v>
      </c>
      <c r="M50" s="61">
        <v>138017878</v>
      </c>
      <c r="N50" s="61">
        <f t="shared" si="3"/>
        <v>149860731</v>
      </c>
      <c r="O50" s="61">
        <f t="shared" si="6"/>
        <v>17579946</v>
      </c>
      <c r="P50" s="794">
        <f>O50/D50</f>
        <v>0.13289871238668563</v>
      </c>
      <c r="Q50" s="61">
        <f t="shared" si="4"/>
        <v>1002516</v>
      </c>
      <c r="R50" s="794">
        <f>Q50/K50</f>
        <v>6.734703892559776E-3</v>
      </c>
      <c r="S50" s="967">
        <f t="shared" si="5"/>
        <v>0.17254713492224358</v>
      </c>
    </row>
    <row r="51" spans="1:19" s="56" customFormat="1" x14ac:dyDescent="0.2">
      <c r="A51" s="64" t="s">
        <v>644</v>
      </c>
      <c r="B51" s="54"/>
      <c r="C51" s="24">
        <f>'2.3 TOETUSED'!B41</f>
        <v>147334</v>
      </c>
      <c r="D51" s="61">
        <f>B51+C51</f>
        <v>147334</v>
      </c>
      <c r="E51" s="54"/>
      <c r="F51" s="24">
        <f>'2.3 TOETUSED'!C41</f>
        <v>0</v>
      </c>
      <c r="G51" s="61">
        <f t="shared" si="0"/>
        <v>0</v>
      </c>
      <c r="H51" s="54"/>
      <c r="I51" s="24">
        <f>'2.3 TOETUSED'!D41</f>
        <v>0</v>
      </c>
      <c r="J51" s="54">
        <f t="shared" si="1"/>
        <v>0</v>
      </c>
      <c r="K51" s="61">
        <f t="shared" si="2"/>
        <v>147334</v>
      </c>
      <c r="L51" s="61"/>
      <c r="M51" s="61">
        <v>9223</v>
      </c>
      <c r="N51" s="61">
        <f t="shared" si="3"/>
        <v>9223</v>
      </c>
      <c r="O51" s="61">
        <f t="shared" si="6"/>
        <v>-138111</v>
      </c>
      <c r="P51" s="794">
        <f>O51/D51</f>
        <v>-0.9374007357432772</v>
      </c>
      <c r="Q51" s="61">
        <f t="shared" si="4"/>
        <v>-138111</v>
      </c>
      <c r="R51" s="794">
        <f>Q51/K51</f>
        <v>-0.9374007357432772</v>
      </c>
      <c r="S51" s="967">
        <f t="shared" si="5"/>
        <v>1.0619207678813822E-5</v>
      </c>
    </row>
    <row r="52" spans="1:19" x14ac:dyDescent="0.2">
      <c r="A52" s="26" t="s">
        <v>105</v>
      </c>
      <c r="B52" s="54">
        <f>'2.3 TOETUSED'!B107</f>
        <v>4680940</v>
      </c>
      <c r="C52" s="54">
        <f>'2.3 TOETUSED'!B55</f>
        <v>7494963</v>
      </c>
      <c r="D52" s="54">
        <f>B52+C52</f>
        <v>12175903</v>
      </c>
      <c r="E52" s="54">
        <f>'2.3 TOETUSED'!C107</f>
        <v>-306477</v>
      </c>
      <c r="F52" s="54">
        <f>'2.3 TOETUSED'!C55</f>
        <v>-1095709</v>
      </c>
      <c r="G52" s="54">
        <f t="shared" si="0"/>
        <v>-1402186</v>
      </c>
      <c r="H52" s="54">
        <f>'2.3 TOETUSED'!D107</f>
        <v>-1376289</v>
      </c>
      <c r="I52" s="54">
        <f>'2.3 TOETUSED'!D55</f>
        <v>0</v>
      </c>
      <c r="J52" s="54">
        <f t="shared" si="1"/>
        <v>-1376289</v>
      </c>
      <c r="K52" s="54">
        <f t="shared" si="2"/>
        <v>9397428</v>
      </c>
      <c r="L52" s="54">
        <v>19625201.170000002</v>
      </c>
      <c r="M52" s="54">
        <v>4287923</v>
      </c>
      <c r="N52" s="54">
        <f>L52+M52</f>
        <v>23913124.170000002</v>
      </c>
      <c r="O52" s="54">
        <f t="shared" si="6"/>
        <v>11737221.170000002</v>
      </c>
      <c r="P52" s="133">
        <f>O52/D52</f>
        <v>0.96397131038248263</v>
      </c>
      <c r="Q52" s="54">
        <f t="shared" si="4"/>
        <v>14515696.170000002</v>
      </c>
      <c r="R52" s="133">
        <f>Q52/K52</f>
        <v>1.5446456381469484</v>
      </c>
      <c r="S52" s="543">
        <f t="shared" si="5"/>
        <v>2.7533170531333886E-2</v>
      </c>
    </row>
    <row r="53" spans="1:19" s="486" customFormat="1" x14ac:dyDescent="0.2">
      <c r="A53" s="64" t="s">
        <v>1022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>
        <v>49800</v>
      </c>
      <c r="N53" s="54">
        <f>L53+M53</f>
        <v>49800</v>
      </c>
      <c r="O53" s="54">
        <f t="shared" si="6"/>
        <v>49800</v>
      </c>
      <c r="P53" s="133"/>
      <c r="Q53" s="54"/>
      <c r="R53" s="133"/>
      <c r="S53" s="543">
        <f t="shared" si="5"/>
        <v>5.7338885655961003E-5</v>
      </c>
    </row>
    <row r="54" spans="1:19" ht="9.75" customHeight="1" x14ac:dyDescent="0.2">
      <c r="A54" s="2"/>
      <c r="B54" s="54"/>
      <c r="C54" s="24"/>
      <c r="D54" s="54"/>
      <c r="E54" s="54"/>
      <c r="F54" s="24"/>
      <c r="G54" s="54">
        <f>E54+F54</f>
        <v>0</v>
      </c>
      <c r="H54" s="54"/>
      <c r="I54" s="24"/>
      <c r="J54" s="54">
        <f t="shared" si="1"/>
        <v>0</v>
      </c>
      <c r="K54" s="54">
        <f t="shared" si="2"/>
        <v>0</v>
      </c>
      <c r="L54" s="54"/>
      <c r="M54" s="54"/>
      <c r="N54" s="54">
        <f t="shared" si="3"/>
        <v>0</v>
      </c>
      <c r="O54" s="54">
        <f t="shared" si="6"/>
        <v>0</v>
      </c>
      <c r="P54" s="133"/>
      <c r="Q54" s="54">
        <f t="shared" si="4"/>
        <v>0</v>
      </c>
      <c r="R54" s="133"/>
      <c r="S54" s="543">
        <f t="shared" si="5"/>
        <v>0</v>
      </c>
    </row>
    <row r="55" spans="1:19" x14ac:dyDescent="0.2">
      <c r="A55" s="23" t="s">
        <v>93</v>
      </c>
      <c r="B55" s="33">
        <f>B47+B49</f>
        <v>541580614</v>
      </c>
      <c r="C55" s="33">
        <f t="shared" ref="C55:D55" ca="1" si="7">C47+C49</f>
        <v>223656969</v>
      </c>
      <c r="D55" s="33">
        <f t="shared" ca="1" si="7"/>
        <v>765237583</v>
      </c>
      <c r="E55" s="33">
        <f>E47+E49</f>
        <v>25678742</v>
      </c>
      <c r="F55" s="33">
        <f t="shared" ref="F55" ca="1" si="8">F47+F49</f>
        <v>-4407501</v>
      </c>
      <c r="G55" s="33">
        <f ca="1">E55+F55</f>
        <v>21271241</v>
      </c>
      <c r="H55" s="33">
        <f>H47+H49</f>
        <v>4582344</v>
      </c>
      <c r="I55" s="33">
        <f ca="1">I47+I49</f>
        <v>-500633</v>
      </c>
      <c r="J55" s="33">
        <f t="shared" ca="1" si="1"/>
        <v>4081711</v>
      </c>
      <c r="K55" s="33">
        <f t="shared" ca="1" si="2"/>
        <v>790590535</v>
      </c>
      <c r="L55" s="33">
        <f t="shared" ref="L55:M55" si="9">L47+L49</f>
        <v>636697178.16999996</v>
      </c>
      <c r="M55" s="33">
        <f t="shared" si="9"/>
        <v>231823363</v>
      </c>
      <c r="N55" s="33">
        <f t="shared" si="3"/>
        <v>868520541.16999996</v>
      </c>
      <c r="O55" s="33">
        <f t="shared" ca="1" si="6"/>
        <v>103282958.16999996</v>
      </c>
      <c r="P55" s="804">
        <f ca="1">O55/D55</f>
        <v>0.13496848621194807</v>
      </c>
      <c r="Q55" s="33">
        <f t="shared" ca="1" si="4"/>
        <v>77930006.169999957</v>
      </c>
      <c r="R55" s="804">
        <f ca="1">Q55/K55</f>
        <v>9.8571893692099358E-2</v>
      </c>
      <c r="S55" s="535">
        <f t="shared" si="5"/>
        <v>1</v>
      </c>
    </row>
    <row r="56" spans="1:19" x14ac:dyDescent="0.2">
      <c r="B56" s="239"/>
      <c r="C56" s="239"/>
      <c r="D56" s="33"/>
      <c r="E56" s="54"/>
      <c r="G56" s="33"/>
      <c r="H56" s="33"/>
      <c r="I56" s="33"/>
      <c r="J56" s="33"/>
      <c r="K56" s="33"/>
      <c r="L56" s="33"/>
      <c r="M56" s="33"/>
      <c r="N56" s="33"/>
      <c r="O56" s="54"/>
      <c r="P56" s="133"/>
      <c r="Q56" s="54"/>
      <c r="R56" s="133"/>
      <c r="S56" s="33"/>
    </row>
    <row r="57" spans="1:19" x14ac:dyDescent="0.2">
      <c r="D57" s="33"/>
      <c r="E57" s="33"/>
      <c r="F57" s="33"/>
      <c r="G57" s="33"/>
      <c r="H57" s="33"/>
      <c r="I57" s="33"/>
      <c r="J57" s="33"/>
      <c r="K57" s="33"/>
      <c r="L57" s="33"/>
      <c r="M57" s="133"/>
      <c r="N57" s="723"/>
      <c r="S57" s="723"/>
    </row>
    <row r="58" spans="1:19" x14ac:dyDescent="0.2">
      <c r="D58" s="54"/>
      <c r="G58" s="54"/>
      <c r="H58" s="54"/>
      <c r="I58" s="54"/>
      <c r="J58" s="54"/>
      <c r="K58" s="54"/>
      <c r="L58" s="54"/>
      <c r="M58" s="54"/>
      <c r="N58" s="54"/>
      <c r="S58" s="54"/>
    </row>
    <row r="59" spans="1:19" x14ac:dyDescent="0.2"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S59" s="54"/>
    </row>
  </sheetData>
  <autoFilter ref="A5:R56" xr:uid="{00000000-0009-0000-0000-000002000000}"/>
  <mergeCells count="3">
    <mergeCell ref="Q4:R4"/>
    <mergeCell ref="O4:P4"/>
    <mergeCell ref="D4:K4"/>
  </mergeCells>
  <phoneticPr fontId="37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theme="9" tint="0.79998168889431442"/>
  </sheetPr>
  <dimension ref="A1:J93"/>
  <sheetViews>
    <sheetView showZeros="0" zoomScaleNormal="100" workbookViewId="0">
      <pane xSplit="1" ySplit="4" topLeftCell="B5" activePane="bottomRight" state="frozen"/>
      <selection activeCell="H16" sqref="H16:H20"/>
      <selection pane="topRight" activeCell="H16" sqref="H16:H20"/>
      <selection pane="bottomLeft" activeCell="H16" sqref="H16:H20"/>
      <selection pane="bottomRight" activeCell="F41" sqref="F41"/>
    </sheetView>
  </sheetViews>
  <sheetFormatPr defaultColWidth="9.42578125" defaultRowHeight="12.75" x14ac:dyDescent="0.2"/>
  <cols>
    <col min="1" max="1" width="41" style="53" bestFit="1" customWidth="1"/>
    <col min="2" max="2" width="12.5703125" style="53" customWidth="1"/>
    <col min="3" max="4" width="12.5703125" style="53" hidden="1" customWidth="1"/>
    <col min="5" max="5" width="12" style="53" bestFit="1" customWidth="1"/>
    <col min="6" max="6" width="14" style="53" customWidth="1"/>
    <col min="7" max="7" width="11" style="53" bestFit="1" customWidth="1"/>
    <col min="8" max="8" width="9.42578125" style="53"/>
    <col min="9" max="9" width="12.5703125" style="53" customWidth="1"/>
    <col min="10" max="10" width="9.42578125" style="53" customWidth="1"/>
    <col min="11" max="16384" width="9.42578125" style="53"/>
  </cols>
  <sheetData>
    <row r="1" spans="1:10" ht="15" x14ac:dyDescent="0.2">
      <c r="A1" s="584" t="s">
        <v>106</v>
      </c>
      <c r="B1" s="266"/>
      <c r="C1" s="266"/>
      <c r="D1" s="266"/>
      <c r="E1" s="266"/>
      <c r="F1" s="266"/>
      <c r="I1" s="266"/>
      <c r="J1" s="585"/>
    </row>
    <row r="2" spans="1:10" ht="15" x14ac:dyDescent="0.2">
      <c r="A2" s="584"/>
      <c r="B2" s="266"/>
      <c r="C2" s="266"/>
      <c r="D2" s="266"/>
      <c r="E2" s="266"/>
      <c r="F2" s="586"/>
      <c r="I2" s="266"/>
      <c r="J2" s="266"/>
    </row>
    <row r="3" spans="1:10" x14ac:dyDescent="0.2">
      <c r="A3" s="587"/>
      <c r="B3" s="1000">
        <v>2021</v>
      </c>
      <c r="C3" s="1001"/>
      <c r="D3" s="1001"/>
      <c r="E3" s="1002"/>
      <c r="F3" s="807">
        <v>2022</v>
      </c>
      <c r="G3" s="998" t="s">
        <v>1075</v>
      </c>
      <c r="H3" s="999"/>
      <c r="I3" s="996" t="s">
        <v>1076</v>
      </c>
      <c r="J3" s="997"/>
    </row>
    <row r="4" spans="1:10" ht="25.5" x14ac:dyDescent="0.2">
      <c r="A4" s="587"/>
      <c r="B4" s="813" t="s">
        <v>859</v>
      </c>
      <c r="C4" s="813" t="s">
        <v>984</v>
      </c>
      <c r="D4" s="813" t="s">
        <v>1066</v>
      </c>
      <c r="E4" s="813" t="s">
        <v>860</v>
      </c>
      <c r="F4" s="808" t="s">
        <v>1074</v>
      </c>
      <c r="G4" s="809" t="s">
        <v>53</v>
      </c>
      <c r="H4" s="810" t="s">
        <v>981</v>
      </c>
      <c r="I4" s="811" t="s">
        <v>53</v>
      </c>
      <c r="J4" s="812" t="s">
        <v>981</v>
      </c>
    </row>
    <row r="5" spans="1:10" x14ac:dyDescent="0.2">
      <c r="A5" s="587"/>
      <c r="B5" s="588"/>
      <c r="C5" s="588"/>
      <c r="D5" s="588"/>
      <c r="E5" s="266"/>
      <c r="F5" s="266"/>
      <c r="I5" s="266"/>
      <c r="J5" s="266"/>
    </row>
    <row r="6" spans="1:10" x14ac:dyDescent="0.2">
      <c r="A6" s="589" t="s">
        <v>56</v>
      </c>
      <c r="B6" s="279">
        <f t="shared" ref="B6" si="0">B7+B10</f>
        <v>509148536</v>
      </c>
      <c r="C6" s="279">
        <f>C7</f>
        <v>10000000</v>
      </c>
      <c r="D6" s="279">
        <f>D7</f>
        <v>3720000</v>
      </c>
      <c r="E6" s="279">
        <f>B6+C6+D6</f>
        <v>522868536</v>
      </c>
      <c r="F6" s="279">
        <f t="shared" ref="F6" si="1">F7+F10</f>
        <v>581400000</v>
      </c>
      <c r="G6" s="279">
        <f t="shared" ref="G6:G37" si="2">F6-B6</f>
        <v>72251464</v>
      </c>
      <c r="H6" s="523">
        <f>G6/B6</f>
        <v>0.14190645536885135</v>
      </c>
      <c r="I6" s="279">
        <f t="shared" ref="I6" si="3">IF(F6=0,0,F6-E6)</f>
        <v>58531464</v>
      </c>
      <c r="J6" s="523">
        <f t="shared" ref="J6" si="4">IF(F6=0,"",I6/E6)</f>
        <v>0.11194298369485366</v>
      </c>
    </row>
    <row r="7" spans="1:10" x14ac:dyDescent="0.2">
      <c r="A7" s="255" t="s">
        <v>95</v>
      </c>
      <c r="B7" s="498">
        <f>B8</f>
        <v>483748536</v>
      </c>
      <c r="C7" s="498">
        <f>C8</f>
        <v>10000000</v>
      </c>
      <c r="D7" s="498">
        <f>D8</f>
        <v>3720000</v>
      </c>
      <c r="E7" s="498">
        <f t="shared" ref="E7:E70" si="5">B7+C7+D7</f>
        <v>497468536</v>
      </c>
      <c r="F7" s="498">
        <f>F8</f>
        <v>556000000</v>
      </c>
      <c r="G7" s="498">
        <f t="shared" si="2"/>
        <v>72251464</v>
      </c>
      <c r="H7" s="524">
        <f>G7/B7</f>
        <v>0.14935748353355224</v>
      </c>
      <c r="I7" s="498">
        <f t="shared" ref="I7:I78" si="6">IF(F7=0,0,F7-E7)</f>
        <v>58531464</v>
      </c>
      <c r="J7" s="524">
        <f t="shared" ref="J7:J78" si="7">IF(F7=0,"",I7/E7)</f>
        <v>0.1176586251477018</v>
      </c>
    </row>
    <row r="8" spans="1:10" x14ac:dyDescent="0.2">
      <c r="A8" s="739" t="s">
        <v>91</v>
      </c>
      <c r="B8" s="159">
        <v>483748536</v>
      </c>
      <c r="C8" s="159">
        <v>10000000</v>
      </c>
      <c r="D8" s="159">
        <v>3720000</v>
      </c>
      <c r="E8" s="159">
        <f t="shared" si="5"/>
        <v>497468536</v>
      </c>
      <c r="F8" s="159">
        <f>523461412+25038588+7500000</f>
        <v>556000000</v>
      </c>
      <c r="G8" s="159">
        <f t="shared" si="2"/>
        <v>72251464</v>
      </c>
      <c r="H8" s="525">
        <f>G8/B8</f>
        <v>0.14935748353355224</v>
      </c>
      <c r="I8" s="159">
        <f t="shared" si="6"/>
        <v>58531464</v>
      </c>
      <c r="J8" s="525">
        <f t="shared" si="7"/>
        <v>0.1176586251477018</v>
      </c>
    </row>
    <row r="9" spans="1:10" x14ac:dyDescent="0.2">
      <c r="A9" s="590"/>
      <c r="B9" s="159"/>
      <c r="C9" s="159"/>
      <c r="D9" s="159"/>
      <c r="E9" s="159">
        <f t="shared" si="5"/>
        <v>0</v>
      </c>
      <c r="F9" s="159"/>
      <c r="G9" s="159">
        <f t="shared" si="2"/>
        <v>0</v>
      </c>
      <c r="H9" s="525"/>
      <c r="I9" s="159">
        <f t="shared" si="6"/>
        <v>0</v>
      </c>
      <c r="J9" s="525" t="str">
        <f t="shared" si="7"/>
        <v/>
      </c>
    </row>
    <row r="10" spans="1:10" x14ac:dyDescent="0.2">
      <c r="A10" s="255" t="s">
        <v>96</v>
      </c>
      <c r="B10" s="498">
        <f>B11</f>
        <v>25400000</v>
      </c>
      <c r="C10" s="498"/>
      <c r="D10" s="498"/>
      <c r="E10" s="498">
        <f t="shared" si="5"/>
        <v>25400000</v>
      </c>
      <c r="F10" s="577">
        <f>F11</f>
        <v>25400000</v>
      </c>
      <c r="G10" s="577">
        <f t="shared" si="2"/>
        <v>0</v>
      </c>
      <c r="H10" s="757">
        <f>G10/B10</f>
        <v>0</v>
      </c>
      <c r="I10" s="577">
        <f>IF(F10=0,0,F10-E10)</f>
        <v>0</v>
      </c>
      <c r="J10" s="757">
        <f>IF(F10=0,"",I10/E10)</f>
        <v>0</v>
      </c>
    </row>
    <row r="11" spans="1:10" x14ac:dyDescent="0.2">
      <c r="A11" s="739" t="s">
        <v>91</v>
      </c>
      <c r="B11" s="159">
        <v>25400000</v>
      </c>
      <c r="C11" s="159"/>
      <c r="D11" s="159"/>
      <c r="E11" s="159">
        <f t="shared" si="5"/>
        <v>25400000</v>
      </c>
      <c r="F11" s="598">
        <v>25400000</v>
      </c>
      <c r="G11" s="598">
        <f t="shared" si="2"/>
        <v>0</v>
      </c>
      <c r="H11" s="529">
        <f>G11/B11</f>
        <v>0</v>
      </c>
      <c r="I11" s="598">
        <f>IF(F11=0,0,F11-E11)</f>
        <v>0</v>
      </c>
      <c r="J11" s="529">
        <v>0</v>
      </c>
    </row>
    <row r="12" spans="1:10" x14ac:dyDescent="0.2">
      <c r="A12" s="255"/>
      <c r="B12" s="498"/>
      <c r="C12" s="498"/>
      <c r="D12" s="498"/>
      <c r="E12" s="498">
        <f t="shared" si="5"/>
        <v>0</v>
      </c>
      <c r="F12" s="498"/>
      <c r="G12" s="498">
        <f t="shared" si="2"/>
        <v>0</v>
      </c>
      <c r="H12" s="524"/>
      <c r="I12" s="498">
        <f t="shared" si="6"/>
        <v>0</v>
      </c>
      <c r="J12" s="524" t="str">
        <f t="shared" si="7"/>
        <v/>
      </c>
    </row>
    <row r="13" spans="1:10" x14ac:dyDescent="0.2">
      <c r="A13" s="589" t="s">
        <v>57</v>
      </c>
      <c r="B13" s="279">
        <f t="shared" ref="B13:F13" si="8">B14+B17+B20</f>
        <v>11100000</v>
      </c>
      <c r="C13" s="279">
        <f t="shared" si="8"/>
        <v>-300000</v>
      </c>
      <c r="D13" s="279">
        <f t="shared" si="8"/>
        <v>1900000</v>
      </c>
      <c r="E13" s="279">
        <f t="shared" si="5"/>
        <v>12700000</v>
      </c>
      <c r="F13" s="279">
        <f t="shared" si="8"/>
        <v>11970000</v>
      </c>
      <c r="G13" s="279">
        <f t="shared" si="2"/>
        <v>870000</v>
      </c>
      <c r="H13" s="523">
        <f>G13/B13</f>
        <v>7.8378378378378383E-2</v>
      </c>
      <c r="I13" s="279">
        <f t="shared" si="6"/>
        <v>-730000</v>
      </c>
      <c r="J13" s="523">
        <f t="shared" si="7"/>
        <v>-5.748031496062992E-2</v>
      </c>
    </row>
    <row r="14" spans="1:10" x14ac:dyDescent="0.2">
      <c r="A14" s="591" t="s">
        <v>97</v>
      </c>
      <c r="B14" s="280">
        <f>B15</f>
        <v>4500000</v>
      </c>
      <c r="C14" s="280"/>
      <c r="D14" s="280">
        <f>D15</f>
        <v>500000</v>
      </c>
      <c r="E14" s="280">
        <f t="shared" si="5"/>
        <v>5000000</v>
      </c>
      <c r="F14" s="280">
        <f>F15</f>
        <v>5000000</v>
      </c>
      <c r="G14" s="280">
        <f t="shared" si="2"/>
        <v>500000</v>
      </c>
      <c r="H14" s="526">
        <f>G14/B14</f>
        <v>0.1111111111111111</v>
      </c>
      <c r="I14" s="280">
        <f t="shared" si="6"/>
        <v>0</v>
      </c>
      <c r="J14" s="526">
        <f t="shared" si="7"/>
        <v>0</v>
      </c>
    </row>
    <row r="15" spans="1:10" x14ac:dyDescent="0.2">
      <c r="A15" s="739" t="s">
        <v>792</v>
      </c>
      <c r="B15" s="70">
        <v>4500000</v>
      </c>
      <c r="C15" s="70"/>
      <c r="D15" s="70">
        <v>500000</v>
      </c>
      <c r="E15" s="70">
        <f t="shared" si="5"/>
        <v>5000000</v>
      </c>
      <c r="F15" s="581">
        <v>5000000</v>
      </c>
      <c r="G15" s="581">
        <f t="shared" si="2"/>
        <v>500000</v>
      </c>
      <c r="H15" s="814">
        <f>G15/B15</f>
        <v>0.1111111111111111</v>
      </c>
      <c r="I15" s="581">
        <f t="shared" si="6"/>
        <v>0</v>
      </c>
      <c r="J15" s="814">
        <f t="shared" si="7"/>
        <v>0</v>
      </c>
    </row>
    <row r="16" spans="1:10" x14ac:dyDescent="0.2">
      <c r="A16" s="592"/>
      <c r="B16" s="70"/>
      <c r="C16" s="70"/>
      <c r="D16" s="70"/>
      <c r="E16" s="70">
        <f t="shared" si="5"/>
        <v>0</v>
      </c>
      <c r="F16" s="70"/>
      <c r="G16" s="70">
        <f t="shared" si="2"/>
        <v>0</v>
      </c>
      <c r="H16" s="527"/>
      <c r="I16" s="70">
        <f t="shared" si="6"/>
        <v>0</v>
      </c>
      <c r="J16" s="527" t="str">
        <f t="shared" si="7"/>
        <v/>
      </c>
    </row>
    <row r="17" spans="1:10" x14ac:dyDescent="0.2">
      <c r="A17" s="591" t="s">
        <v>139</v>
      </c>
      <c r="B17" s="280">
        <f t="shared" ref="B17" si="9">B18</f>
        <v>900000</v>
      </c>
      <c r="C17" s="280"/>
      <c r="D17" s="280">
        <f>D18</f>
        <v>800000</v>
      </c>
      <c r="E17" s="280">
        <f t="shared" si="5"/>
        <v>1700000</v>
      </c>
      <c r="F17" s="580">
        <f t="shared" ref="F17:I17" si="10">F18</f>
        <v>1470000</v>
      </c>
      <c r="G17" s="580">
        <f t="shared" si="2"/>
        <v>570000</v>
      </c>
      <c r="H17" s="815">
        <f>G17/B17</f>
        <v>0.6333333333333333</v>
      </c>
      <c r="I17" s="580">
        <f t="shared" si="10"/>
        <v>-230000</v>
      </c>
      <c r="J17" s="815">
        <f t="shared" si="7"/>
        <v>-0.13529411764705881</v>
      </c>
    </row>
    <row r="18" spans="1:10" x14ac:dyDescent="0.2">
      <c r="A18" s="740" t="s">
        <v>107</v>
      </c>
      <c r="B18" s="70">
        <v>900000</v>
      </c>
      <c r="C18" s="70"/>
      <c r="D18" s="70">
        <v>800000</v>
      </c>
      <c r="E18" s="70">
        <f t="shared" si="5"/>
        <v>1700000</v>
      </c>
      <c r="F18" s="581">
        <f>850000+500000+80000+40000</f>
        <v>1470000</v>
      </c>
      <c r="G18" s="581">
        <f t="shared" si="2"/>
        <v>570000</v>
      </c>
      <c r="H18" s="814">
        <f>G18/B18</f>
        <v>0.6333333333333333</v>
      </c>
      <c r="I18" s="581">
        <f t="shared" ref="I18:I26" si="11">IF(F18=0,0,F18-E18)</f>
        <v>-230000</v>
      </c>
      <c r="J18" s="814">
        <f t="shared" si="7"/>
        <v>-0.13529411764705881</v>
      </c>
    </row>
    <row r="19" spans="1:10" x14ac:dyDescent="0.2">
      <c r="A19" s="592"/>
      <c r="B19" s="70"/>
      <c r="C19" s="70"/>
      <c r="D19" s="70"/>
      <c r="E19" s="70">
        <f t="shared" si="5"/>
        <v>0</v>
      </c>
      <c r="F19" s="581"/>
      <c r="G19" s="581">
        <f t="shared" si="2"/>
        <v>0</v>
      </c>
      <c r="H19" s="814"/>
      <c r="I19" s="581">
        <f t="shared" si="11"/>
        <v>0</v>
      </c>
      <c r="J19" s="814" t="str">
        <f t="shared" si="7"/>
        <v/>
      </c>
    </row>
    <row r="20" spans="1:10" x14ac:dyDescent="0.2">
      <c r="A20" s="591" t="s">
        <v>98</v>
      </c>
      <c r="B20" s="280">
        <f>B21</f>
        <v>5700000</v>
      </c>
      <c r="C20" s="280">
        <f>C21</f>
        <v>-300000</v>
      </c>
      <c r="D20" s="280">
        <f>D21</f>
        <v>600000</v>
      </c>
      <c r="E20" s="280">
        <f t="shared" si="5"/>
        <v>6000000</v>
      </c>
      <c r="F20" s="580">
        <f t="shared" ref="F20:I20" si="12">F21</f>
        <v>5500000</v>
      </c>
      <c r="G20" s="580">
        <f t="shared" si="2"/>
        <v>-200000</v>
      </c>
      <c r="H20" s="815">
        <f>G20/B20</f>
        <v>-3.5087719298245612E-2</v>
      </c>
      <c r="I20" s="580">
        <f t="shared" si="12"/>
        <v>-500000</v>
      </c>
      <c r="J20" s="815">
        <f t="shared" si="7"/>
        <v>-8.3333333333333329E-2</v>
      </c>
    </row>
    <row r="21" spans="1:10" x14ac:dyDescent="0.2">
      <c r="A21" s="740" t="s">
        <v>107</v>
      </c>
      <c r="B21" s="70">
        <v>5700000</v>
      </c>
      <c r="C21" s="70">
        <v>-300000</v>
      </c>
      <c r="D21" s="70">
        <v>600000</v>
      </c>
      <c r="E21" s="70">
        <f t="shared" si="5"/>
        <v>6000000</v>
      </c>
      <c r="F21" s="581">
        <v>5500000</v>
      </c>
      <c r="G21" s="581">
        <f t="shared" si="2"/>
        <v>-200000</v>
      </c>
      <c r="H21" s="814">
        <f>G21/B21</f>
        <v>-3.5087719298245612E-2</v>
      </c>
      <c r="I21" s="581">
        <f t="shared" si="11"/>
        <v>-500000</v>
      </c>
      <c r="J21" s="814">
        <f t="shared" si="7"/>
        <v>-8.3333333333333329E-2</v>
      </c>
    </row>
    <row r="22" spans="1:10" x14ac:dyDescent="0.2">
      <c r="A22" s="593"/>
      <c r="B22" s="70"/>
      <c r="C22" s="70"/>
      <c r="D22" s="70"/>
      <c r="E22" s="70">
        <f t="shared" si="5"/>
        <v>0</v>
      </c>
      <c r="F22" s="581"/>
      <c r="G22" s="581">
        <f t="shared" si="2"/>
        <v>0</v>
      </c>
      <c r="H22" s="814"/>
      <c r="I22" s="581">
        <f t="shared" si="11"/>
        <v>0</v>
      </c>
      <c r="J22" s="814" t="str">
        <f t="shared" si="7"/>
        <v/>
      </c>
    </row>
    <row r="23" spans="1:10" x14ac:dyDescent="0.2">
      <c r="A23" s="589" t="s">
        <v>58</v>
      </c>
      <c r="B23" s="281">
        <f t="shared" ref="B23" si="13">SUM(B24:B27)</f>
        <v>563100</v>
      </c>
      <c r="C23" s="281"/>
      <c r="D23" s="281"/>
      <c r="E23" s="281">
        <f t="shared" si="5"/>
        <v>563100</v>
      </c>
      <c r="F23" s="582">
        <f>SUM(F24:F27)</f>
        <v>493024</v>
      </c>
      <c r="G23" s="582">
        <f t="shared" si="2"/>
        <v>-70076</v>
      </c>
      <c r="H23" s="816">
        <f>G23/B23</f>
        <v>-0.12444681228911383</v>
      </c>
      <c r="I23" s="582">
        <f t="shared" ref="I23" si="14">SUM(I24:I27)</f>
        <v>-70076</v>
      </c>
      <c r="J23" s="816">
        <f t="shared" si="7"/>
        <v>-0.12444681228911383</v>
      </c>
    </row>
    <row r="24" spans="1:10" x14ac:dyDescent="0.2">
      <c r="A24" s="593" t="s">
        <v>787</v>
      </c>
      <c r="B24" s="126">
        <v>2800</v>
      </c>
      <c r="C24" s="126"/>
      <c r="D24" s="126"/>
      <c r="E24" s="126">
        <f t="shared" si="5"/>
        <v>2800</v>
      </c>
      <c r="F24" s="513">
        <v>2800</v>
      </c>
      <c r="G24" s="513">
        <f t="shared" si="2"/>
        <v>0</v>
      </c>
      <c r="H24" s="529">
        <f>G24/B24</f>
        <v>0</v>
      </c>
      <c r="I24" s="513">
        <f t="shared" si="11"/>
        <v>0</v>
      </c>
      <c r="J24" s="529">
        <f t="shared" si="7"/>
        <v>0</v>
      </c>
    </row>
    <row r="25" spans="1:10" x14ac:dyDescent="0.2">
      <c r="A25" s="740" t="s">
        <v>107</v>
      </c>
      <c r="B25" s="126">
        <v>300</v>
      </c>
      <c r="C25" s="126"/>
      <c r="D25" s="126"/>
      <c r="E25" s="126">
        <f t="shared" si="5"/>
        <v>300</v>
      </c>
      <c r="F25" s="513">
        <v>224</v>
      </c>
      <c r="G25" s="513">
        <f t="shared" si="2"/>
        <v>-76</v>
      </c>
      <c r="H25" s="529">
        <f>G25/B25</f>
        <v>-0.25333333333333335</v>
      </c>
      <c r="I25" s="513">
        <f t="shared" si="11"/>
        <v>-76</v>
      </c>
      <c r="J25" s="529">
        <f t="shared" si="7"/>
        <v>-0.25333333333333335</v>
      </c>
    </row>
    <row r="26" spans="1:10" x14ac:dyDescent="0.2">
      <c r="A26" s="740" t="s">
        <v>112</v>
      </c>
      <c r="B26" s="158">
        <v>130000</v>
      </c>
      <c r="C26" s="158"/>
      <c r="D26" s="158"/>
      <c r="E26" s="158">
        <f t="shared" si="5"/>
        <v>130000</v>
      </c>
      <c r="F26" s="583">
        <v>60000</v>
      </c>
      <c r="G26" s="583">
        <f t="shared" si="2"/>
        <v>-70000</v>
      </c>
      <c r="H26" s="817">
        <f>G26/B26</f>
        <v>-0.53846153846153844</v>
      </c>
      <c r="I26" s="583">
        <f t="shared" si="11"/>
        <v>-70000</v>
      </c>
      <c r="J26" s="817">
        <f t="shared" si="7"/>
        <v>-0.53846153846153844</v>
      </c>
    </row>
    <row r="27" spans="1:10" x14ac:dyDescent="0.2">
      <c r="A27" s="739" t="s">
        <v>108</v>
      </c>
      <c r="B27" s="159">
        <v>430000</v>
      </c>
      <c r="C27" s="159"/>
      <c r="D27" s="159"/>
      <c r="E27" s="159">
        <f t="shared" si="5"/>
        <v>430000</v>
      </c>
      <c r="F27" s="159">
        <v>430000</v>
      </c>
      <c r="G27" s="159">
        <f t="shared" si="2"/>
        <v>0</v>
      </c>
      <c r="H27" s="525">
        <f>G27/B27</f>
        <v>0</v>
      </c>
      <c r="I27" s="159">
        <f t="shared" si="6"/>
        <v>0</v>
      </c>
      <c r="J27" s="525">
        <f t="shared" si="7"/>
        <v>0</v>
      </c>
    </row>
    <row r="28" spans="1:10" x14ac:dyDescent="0.2">
      <c r="A28" s="593"/>
      <c r="B28" s="70"/>
      <c r="C28" s="70"/>
      <c r="D28" s="70"/>
      <c r="E28" s="70">
        <f t="shared" si="5"/>
        <v>0</v>
      </c>
      <c r="F28" s="70"/>
      <c r="G28" s="70">
        <f t="shared" si="2"/>
        <v>0</v>
      </c>
      <c r="H28" s="527"/>
      <c r="I28" s="70">
        <f t="shared" si="6"/>
        <v>0</v>
      </c>
      <c r="J28" s="527" t="str">
        <f t="shared" si="7"/>
        <v/>
      </c>
    </row>
    <row r="29" spans="1:10" x14ac:dyDescent="0.2">
      <c r="A29" s="467" t="s">
        <v>131</v>
      </c>
      <c r="B29" s="173">
        <f>B30+B32</f>
        <v>715000</v>
      </c>
      <c r="C29" s="173"/>
      <c r="D29" s="173">
        <f>D30+D32</f>
        <v>50000</v>
      </c>
      <c r="E29" s="173">
        <f t="shared" si="5"/>
        <v>765000</v>
      </c>
      <c r="F29" s="566">
        <f>F30+F32</f>
        <v>852000</v>
      </c>
      <c r="G29" s="566">
        <f t="shared" si="2"/>
        <v>137000</v>
      </c>
      <c r="H29" s="816">
        <f>G29/B29</f>
        <v>0.1916083916083916</v>
      </c>
      <c r="I29" s="566">
        <f t="shared" si="6"/>
        <v>87000</v>
      </c>
      <c r="J29" s="816">
        <f t="shared" si="7"/>
        <v>0.11372549019607843</v>
      </c>
    </row>
    <row r="30" spans="1:10" x14ac:dyDescent="0.2">
      <c r="A30" s="594" t="s">
        <v>109</v>
      </c>
      <c r="B30" s="498">
        <f>B31</f>
        <v>488000</v>
      </c>
      <c r="C30" s="498"/>
      <c r="D30" s="498">
        <f>D31</f>
        <v>0</v>
      </c>
      <c r="E30" s="498">
        <f t="shared" si="5"/>
        <v>488000</v>
      </c>
      <c r="F30" s="577">
        <f>F31</f>
        <v>487000</v>
      </c>
      <c r="G30" s="577">
        <f t="shared" si="2"/>
        <v>-1000</v>
      </c>
      <c r="H30" s="757">
        <f>G30/B30</f>
        <v>-2.0491803278688526E-3</v>
      </c>
      <c r="I30" s="577">
        <f t="shared" si="6"/>
        <v>-1000</v>
      </c>
      <c r="J30" s="757">
        <f t="shared" si="7"/>
        <v>-2.0491803278688526E-3</v>
      </c>
    </row>
    <row r="31" spans="1:10" x14ac:dyDescent="0.2">
      <c r="A31" s="739" t="s">
        <v>110</v>
      </c>
      <c r="B31" s="159">
        <v>488000</v>
      </c>
      <c r="C31" s="159"/>
      <c r="D31" s="159"/>
      <c r="E31" s="159">
        <f t="shared" si="5"/>
        <v>488000</v>
      </c>
      <c r="F31" s="598">
        <v>487000</v>
      </c>
      <c r="G31" s="598">
        <f t="shared" si="2"/>
        <v>-1000</v>
      </c>
      <c r="H31" s="529">
        <f>G31/B31</f>
        <v>-2.0491803278688526E-3</v>
      </c>
      <c r="I31" s="598">
        <f t="shared" si="6"/>
        <v>-1000</v>
      </c>
      <c r="J31" s="529">
        <f t="shared" si="7"/>
        <v>-2.0491803278688526E-3</v>
      </c>
    </row>
    <row r="32" spans="1:10" x14ac:dyDescent="0.2">
      <c r="A32" s="594" t="s">
        <v>111</v>
      </c>
      <c r="B32" s="498">
        <f t="shared" ref="B32:D32" si="15">B33</f>
        <v>227000</v>
      </c>
      <c r="C32" s="498"/>
      <c r="D32" s="498">
        <f t="shared" si="15"/>
        <v>50000</v>
      </c>
      <c r="E32" s="498">
        <f t="shared" si="5"/>
        <v>277000</v>
      </c>
      <c r="F32" s="577">
        <f t="shared" ref="F32" si="16">F33</f>
        <v>365000</v>
      </c>
      <c r="G32" s="577">
        <f t="shared" si="2"/>
        <v>138000</v>
      </c>
      <c r="H32" s="757">
        <f>G32/B32</f>
        <v>0.60792951541850215</v>
      </c>
      <c r="I32" s="577">
        <f t="shared" si="6"/>
        <v>88000</v>
      </c>
      <c r="J32" s="757">
        <f t="shared" si="7"/>
        <v>0.3176895306859206</v>
      </c>
    </row>
    <row r="33" spans="1:10" x14ac:dyDescent="0.2">
      <c r="A33" s="739" t="s">
        <v>110</v>
      </c>
      <c r="B33" s="159">
        <v>227000</v>
      </c>
      <c r="C33" s="159"/>
      <c r="D33" s="159">
        <v>50000</v>
      </c>
      <c r="E33" s="159">
        <f t="shared" si="5"/>
        <v>277000</v>
      </c>
      <c r="F33" s="598">
        <v>365000</v>
      </c>
      <c r="G33" s="598">
        <f t="shared" si="2"/>
        <v>138000</v>
      </c>
      <c r="H33" s="529">
        <f>G33/B33</f>
        <v>0.60792951541850215</v>
      </c>
      <c r="I33" s="598">
        <f t="shared" si="6"/>
        <v>88000</v>
      </c>
      <c r="J33" s="529">
        <f t="shared" si="7"/>
        <v>0.3176895306859206</v>
      </c>
    </row>
    <row r="34" spans="1:10" x14ac:dyDescent="0.2">
      <c r="A34" s="591"/>
      <c r="B34" s="280"/>
      <c r="C34" s="280"/>
      <c r="D34" s="280"/>
      <c r="E34" s="280">
        <f t="shared" si="5"/>
        <v>0</v>
      </c>
      <c r="F34" s="280"/>
      <c r="G34" s="280">
        <f t="shared" si="2"/>
        <v>0</v>
      </c>
      <c r="H34" s="526"/>
      <c r="I34" s="280">
        <f t="shared" si="6"/>
        <v>0</v>
      </c>
      <c r="J34" s="526" t="str">
        <f t="shared" si="7"/>
        <v/>
      </c>
    </row>
    <row r="35" spans="1:10" x14ac:dyDescent="0.2">
      <c r="A35" s="589" t="s">
        <v>60</v>
      </c>
      <c r="B35" s="279">
        <f>B37+B41</f>
        <v>714000</v>
      </c>
      <c r="C35" s="279">
        <f>C37+C41</f>
        <v>218613</v>
      </c>
      <c r="D35" s="279">
        <f>D37+D41</f>
        <v>1025760</v>
      </c>
      <c r="E35" s="279">
        <f t="shared" si="5"/>
        <v>1958373</v>
      </c>
      <c r="F35" s="595">
        <f>F37+F41</f>
        <v>676000</v>
      </c>
      <c r="G35" s="595">
        <f t="shared" si="2"/>
        <v>-38000</v>
      </c>
      <c r="H35" s="818">
        <f>G35/B35</f>
        <v>-5.3221288515406161E-2</v>
      </c>
      <c r="I35" s="595">
        <f t="shared" ref="I35" si="17">I37+I41</f>
        <v>-1282373</v>
      </c>
      <c r="J35" s="818">
        <f t="shared" si="7"/>
        <v>-0.65481550246046083</v>
      </c>
    </row>
    <row r="36" spans="1:10" x14ac:dyDescent="0.2">
      <c r="A36" s="593"/>
      <c r="B36" s="70"/>
      <c r="C36" s="70"/>
      <c r="D36" s="70"/>
      <c r="E36" s="70">
        <f t="shared" si="5"/>
        <v>0</v>
      </c>
      <c r="F36" s="581"/>
      <c r="G36" s="581">
        <f t="shared" si="2"/>
        <v>0</v>
      </c>
      <c r="H36" s="814"/>
      <c r="I36" s="581">
        <f t="shared" ref="I36:I39" si="18">IF(F36=0,0,F36-E36)</f>
        <v>0</v>
      </c>
      <c r="J36" s="814" t="str">
        <f t="shared" si="7"/>
        <v/>
      </c>
    </row>
    <row r="37" spans="1:10" x14ac:dyDescent="0.2">
      <c r="A37" s="591" t="s">
        <v>99</v>
      </c>
      <c r="B37" s="160">
        <f>B38+B39</f>
        <v>586000</v>
      </c>
      <c r="C37" s="160"/>
      <c r="D37" s="160"/>
      <c r="E37" s="160">
        <f t="shared" si="5"/>
        <v>586000</v>
      </c>
      <c r="F37" s="596">
        <f t="shared" ref="F37:I37" si="19">F38+F39</f>
        <v>636000</v>
      </c>
      <c r="G37" s="596">
        <f t="shared" si="2"/>
        <v>50000</v>
      </c>
      <c r="H37" s="757">
        <f>G37/B37</f>
        <v>8.5324232081911269E-2</v>
      </c>
      <c r="I37" s="596">
        <f t="shared" si="19"/>
        <v>50000</v>
      </c>
      <c r="J37" s="757">
        <f t="shared" si="7"/>
        <v>8.5324232081911269E-2</v>
      </c>
    </row>
    <row r="38" spans="1:10" x14ac:dyDescent="0.2">
      <c r="A38" s="739" t="s">
        <v>107</v>
      </c>
      <c r="B38" s="126">
        <v>16000</v>
      </c>
      <c r="C38" s="126"/>
      <c r="D38" s="126"/>
      <c r="E38" s="126">
        <f t="shared" si="5"/>
        <v>16000</v>
      </c>
      <c r="F38" s="513">
        <v>16000</v>
      </c>
      <c r="G38" s="513">
        <f t="shared" ref="G38:G69" si="20">F38-B38</f>
        <v>0</v>
      </c>
      <c r="H38" s="529">
        <f>G38/B38</f>
        <v>0</v>
      </c>
      <c r="I38" s="513">
        <f t="shared" si="18"/>
        <v>0</v>
      </c>
      <c r="J38" s="529">
        <f t="shared" si="7"/>
        <v>0</v>
      </c>
    </row>
    <row r="39" spans="1:10" x14ac:dyDescent="0.2">
      <c r="A39" s="739" t="s">
        <v>112</v>
      </c>
      <c r="B39" s="126">
        <v>570000</v>
      </c>
      <c r="C39" s="126"/>
      <c r="D39" s="126"/>
      <c r="E39" s="126">
        <f t="shared" si="5"/>
        <v>570000</v>
      </c>
      <c r="F39" s="513">
        <v>620000</v>
      </c>
      <c r="G39" s="513">
        <f t="shared" si="20"/>
        <v>50000</v>
      </c>
      <c r="H39" s="529">
        <f>G39/B39</f>
        <v>8.771929824561403E-2</v>
      </c>
      <c r="I39" s="513">
        <f t="shared" si="18"/>
        <v>50000</v>
      </c>
      <c r="J39" s="529">
        <f t="shared" si="7"/>
        <v>8.771929824561403E-2</v>
      </c>
    </row>
    <row r="40" spans="1:10" x14ac:dyDescent="0.2">
      <c r="A40" s="592"/>
      <c r="B40" s="70"/>
      <c r="C40" s="70"/>
      <c r="D40" s="70"/>
      <c r="E40" s="70">
        <f t="shared" si="5"/>
        <v>0</v>
      </c>
      <c r="F40" s="70"/>
      <c r="G40" s="70">
        <f t="shared" si="20"/>
        <v>0</v>
      </c>
      <c r="H40" s="527"/>
      <c r="I40" s="70">
        <f t="shared" si="6"/>
        <v>0</v>
      </c>
      <c r="J40" s="527" t="str">
        <f t="shared" si="7"/>
        <v/>
      </c>
    </row>
    <row r="41" spans="1:10" x14ac:dyDescent="0.2">
      <c r="A41" s="591" t="s">
        <v>130</v>
      </c>
      <c r="B41" s="160">
        <f>B42+B53</f>
        <v>128000</v>
      </c>
      <c r="C41" s="160">
        <f>C42+C53+C45</f>
        <v>218613</v>
      </c>
      <c r="D41" s="160">
        <f>D42+D53+D45+D48+D50</f>
        <v>1025760</v>
      </c>
      <c r="E41" s="160">
        <f t="shared" si="5"/>
        <v>1372373</v>
      </c>
      <c r="F41" s="160">
        <f>F42</f>
        <v>40000</v>
      </c>
      <c r="G41" s="160">
        <f t="shared" si="20"/>
        <v>-88000</v>
      </c>
      <c r="H41" s="524">
        <f>G41/B41</f>
        <v>-0.6875</v>
      </c>
      <c r="I41" s="160">
        <f t="shared" si="6"/>
        <v>-1332373</v>
      </c>
      <c r="J41" s="524">
        <f t="shared" si="7"/>
        <v>-0.97085340501452588</v>
      </c>
    </row>
    <row r="42" spans="1:10" x14ac:dyDescent="0.2">
      <c r="A42" s="748" t="s">
        <v>28</v>
      </c>
      <c r="B42" s="160">
        <f>B43+B44</f>
        <v>38000</v>
      </c>
      <c r="C42" s="160"/>
      <c r="D42" s="160">
        <f>D43+D44</f>
        <v>68500</v>
      </c>
      <c r="E42" s="160">
        <f t="shared" si="5"/>
        <v>106500</v>
      </c>
      <c r="F42" s="63">
        <f>F43+F44</f>
        <v>40000</v>
      </c>
      <c r="G42" s="63">
        <f t="shared" si="20"/>
        <v>2000</v>
      </c>
      <c r="H42" s="795">
        <f>G42/B42</f>
        <v>5.2631578947368418E-2</v>
      </c>
      <c r="I42" s="63">
        <f t="shared" si="6"/>
        <v>-66500</v>
      </c>
      <c r="J42" s="795">
        <f t="shared" si="7"/>
        <v>-0.62441314553990612</v>
      </c>
    </row>
    <row r="43" spans="1:10" x14ac:dyDescent="0.2">
      <c r="A43" s="749" t="s">
        <v>792</v>
      </c>
      <c r="B43" s="126">
        <v>28000</v>
      </c>
      <c r="C43" s="126"/>
      <c r="D43" s="126">
        <v>-11500</v>
      </c>
      <c r="E43" s="126">
        <f t="shared" si="5"/>
        <v>16500</v>
      </c>
      <c r="F43" s="513">
        <v>15000</v>
      </c>
      <c r="G43" s="513">
        <f t="shared" si="20"/>
        <v>-13000</v>
      </c>
      <c r="H43" s="529">
        <f>G43/B43</f>
        <v>-0.4642857142857143</v>
      </c>
      <c r="I43" s="513">
        <f>IF(F43=0,0,F43-E43)</f>
        <v>-1500</v>
      </c>
      <c r="J43" s="529">
        <f>IF(F43=0,"",I43/E43)</f>
        <v>-9.0909090909090912E-2</v>
      </c>
    </row>
    <row r="44" spans="1:10" x14ac:dyDescent="0.2">
      <c r="A44" s="749" t="s">
        <v>108</v>
      </c>
      <c r="B44" s="126">
        <v>10000</v>
      </c>
      <c r="C44" s="126"/>
      <c r="D44" s="126">
        <v>80000</v>
      </c>
      <c r="E44" s="126">
        <f t="shared" si="5"/>
        <v>90000</v>
      </c>
      <c r="F44" s="126">
        <v>25000</v>
      </c>
      <c r="G44" s="126">
        <f t="shared" si="20"/>
        <v>15000</v>
      </c>
      <c r="H44" s="525">
        <f>G44/B44</f>
        <v>1.5</v>
      </c>
      <c r="I44" s="126">
        <f t="shared" si="6"/>
        <v>-65000</v>
      </c>
      <c r="J44" s="525">
        <f t="shared" si="7"/>
        <v>-0.72222222222222221</v>
      </c>
    </row>
    <row r="45" spans="1:10" x14ac:dyDescent="0.2">
      <c r="A45" s="748" t="s">
        <v>947</v>
      </c>
      <c r="B45" s="126"/>
      <c r="C45" s="126">
        <f>C46</f>
        <v>7580</v>
      </c>
      <c r="D45" s="126">
        <f>D46+D47</f>
        <v>16860</v>
      </c>
      <c r="E45" s="126">
        <f t="shared" si="5"/>
        <v>24440</v>
      </c>
      <c r="F45" s="126"/>
      <c r="G45" s="126">
        <f t="shared" si="20"/>
        <v>0</v>
      </c>
      <c r="H45" s="525"/>
      <c r="I45" s="126">
        <f t="shared" si="6"/>
        <v>0</v>
      </c>
      <c r="J45" s="525" t="str">
        <f t="shared" si="7"/>
        <v/>
      </c>
    </row>
    <row r="46" spans="1:10" x14ac:dyDescent="0.2">
      <c r="A46" s="749" t="s">
        <v>120</v>
      </c>
      <c r="B46" s="126"/>
      <c r="C46" s="126">
        <f>7470+110</f>
        <v>7580</v>
      </c>
      <c r="D46" s="126">
        <v>13660</v>
      </c>
      <c r="E46" s="126">
        <f t="shared" si="5"/>
        <v>21240</v>
      </c>
      <c r="F46" s="126"/>
      <c r="G46" s="126">
        <f t="shared" si="20"/>
        <v>0</v>
      </c>
      <c r="H46" s="525"/>
      <c r="I46" s="126">
        <f t="shared" si="6"/>
        <v>0</v>
      </c>
      <c r="J46" s="525" t="str">
        <f t="shared" si="7"/>
        <v/>
      </c>
    </row>
    <row r="47" spans="1:10" x14ac:dyDescent="0.2">
      <c r="A47" s="777" t="s">
        <v>769</v>
      </c>
      <c r="B47" s="126"/>
      <c r="C47" s="126"/>
      <c r="D47" s="126">
        <v>3200</v>
      </c>
      <c r="E47" s="126">
        <f t="shared" si="5"/>
        <v>3200</v>
      </c>
      <c r="F47" s="126"/>
      <c r="G47" s="126">
        <f t="shared" si="20"/>
        <v>0</v>
      </c>
      <c r="H47" s="525"/>
      <c r="I47" s="126"/>
      <c r="J47" s="525"/>
    </row>
    <row r="48" spans="1:10" x14ac:dyDescent="0.2">
      <c r="A48" s="775" t="s">
        <v>1063</v>
      </c>
      <c r="B48" s="126"/>
      <c r="C48" s="126"/>
      <c r="D48" s="126">
        <f>D49</f>
        <v>11124</v>
      </c>
      <c r="E48" s="126">
        <f t="shared" si="5"/>
        <v>11124</v>
      </c>
      <c r="F48" s="126"/>
      <c r="G48" s="126">
        <f t="shared" si="20"/>
        <v>0</v>
      </c>
      <c r="H48" s="525"/>
      <c r="I48" s="126"/>
      <c r="J48" s="525"/>
    </row>
    <row r="49" spans="1:10" x14ac:dyDescent="0.2">
      <c r="A49" s="778" t="s">
        <v>556</v>
      </c>
      <c r="B49" s="126"/>
      <c r="C49" s="126"/>
      <c r="D49" s="126">
        <v>11124</v>
      </c>
      <c r="E49" s="126">
        <f t="shared" si="5"/>
        <v>11124</v>
      </c>
      <c r="F49" s="126"/>
      <c r="G49" s="126">
        <f t="shared" si="20"/>
        <v>0</v>
      </c>
      <c r="H49" s="525"/>
      <c r="I49" s="126"/>
      <c r="J49" s="525"/>
    </row>
    <row r="50" spans="1:10" x14ac:dyDescent="0.2">
      <c r="A50" s="780" t="s">
        <v>1064</v>
      </c>
      <c r="B50" s="126"/>
      <c r="C50" s="126"/>
      <c r="D50" s="46">
        <f>SUM(D51:D52)</f>
        <v>511369</v>
      </c>
      <c r="E50" s="126">
        <f t="shared" si="5"/>
        <v>511369</v>
      </c>
      <c r="F50" s="126"/>
      <c r="G50" s="126">
        <f t="shared" si="20"/>
        <v>0</v>
      </c>
      <c r="H50" s="525"/>
      <c r="I50" s="126"/>
      <c r="J50" s="525"/>
    </row>
    <row r="51" spans="1:10" x14ac:dyDescent="0.2">
      <c r="A51" s="776" t="s">
        <v>107</v>
      </c>
      <c r="B51" s="126"/>
      <c r="C51" s="126"/>
      <c r="D51" s="600">
        <v>500000</v>
      </c>
      <c r="E51" s="126">
        <f t="shared" si="5"/>
        <v>500000</v>
      </c>
      <c r="F51" s="126"/>
      <c r="G51" s="126">
        <f t="shared" si="20"/>
        <v>0</v>
      </c>
      <c r="H51" s="525"/>
      <c r="I51" s="126"/>
      <c r="J51" s="525"/>
    </row>
    <row r="52" spans="1:10" x14ac:dyDescent="0.2">
      <c r="A52" s="776" t="s">
        <v>556</v>
      </c>
      <c r="B52" s="126"/>
      <c r="C52" s="126"/>
      <c r="D52" s="600">
        <v>11369</v>
      </c>
      <c r="E52" s="126">
        <f t="shared" si="5"/>
        <v>11369</v>
      </c>
      <c r="F52" s="126"/>
      <c r="G52" s="126">
        <f t="shared" si="20"/>
        <v>0</v>
      </c>
      <c r="H52" s="525"/>
      <c r="I52" s="126"/>
      <c r="J52" s="525"/>
    </row>
    <row r="53" spans="1:10" x14ac:dyDescent="0.2">
      <c r="A53" s="779" t="s">
        <v>29</v>
      </c>
      <c r="B53" s="498">
        <v>90000</v>
      </c>
      <c r="C53" s="498">
        <f>SUM(C54:C59)</f>
        <v>211033</v>
      </c>
      <c r="D53" s="498">
        <f>SUM(D54:D60)</f>
        <v>417907</v>
      </c>
      <c r="E53" s="498">
        <f t="shared" si="5"/>
        <v>718940</v>
      </c>
      <c r="F53" s="498"/>
      <c r="G53" s="498">
        <f t="shared" si="20"/>
        <v>-90000</v>
      </c>
      <c r="H53" s="524">
        <f>G53/B53</f>
        <v>-1</v>
      </c>
      <c r="I53" s="498">
        <f t="shared" si="6"/>
        <v>0</v>
      </c>
      <c r="J53" s="524" t="str">
        <f t="shared" si="7"/>
        <v/>
      </c>
    </row>
    <row r="54" spans="1:10" x14ac:dyDescent="0.2">
      <c r="A54" s="749" t="s">
        <v>120</v>
      </c>
      <c r="B54" s="498"/>
      <c r="C54" s="498">
        <v>230</v>
      </c>
      <c r="D54" s="498">
        <v>211</v>
      </c>
      <c r="E54" s="498">
        <f t="shared" si="5"/>
        <v>441</v>
      </c>
      <c r="F54" s="498"/>
      <c r="G54" s="498">
        <f t="shared" si="20"/>
        <v>0</v>
      </c>
      <c r="H54" s="524"/>
      <c r="I54" s="498">
        <f t="shared" si="6"/>
        <v>0</v>
      </c>
      <c r="J54" s="524" t="str">
        <f t="shared" si="7"/>
        <v/>
      </c>
    </row>
    <row r="55" spans="1:10" x14ac:dyDescent="0.2">
      <c r="A55" s="749" t="s">
        <v>769</v>
      </c>
      <c r="B55" s="498"/>
      <c r="C55" s="498">
        <v>200</v>
      </c>
      <c r="D55" s="498">
        <v>155</v>
      </c>
      <c r="E55" s="498">
        <f t="shared" si="5"/>
        <v>355</v>
      </c>
      <c r="F55" s="498"/>
      <c r="G55" s="498">
        <f t="shared" si="20"/>
        <v>0</v>
      </c>
      <c r="H55" s="524"/>
      <c r="I55" s="498">
        <f t="shared" si="6"/>
        <v>0</v>
      </c>
      <c r="J55" s="524" t="str">
        <f t="shared" si="7"/>
        <v/>
      </c>
    </row>
    <row r="56" spans="1:10" s="486" customFormat="1" x14ac:dyDescent="0.2">
      <c r="A56" s="777" t="s">
        <v>110</v>
      </c>
      <c r="B56" s="513">
        <v>0</v>
      </c>
      <c r="C56" s="513">
        <v>210000</v>
      </c>
      <c r="D56" s="513">
        <v>190000</v>
      </c>
      <c r="E56" s="513">
        <f t="shared" si="5"/>
        <v>400000</v>
      </c>
      <c r="F56" s="513"/>
      <c r="G56" s="513">
        <f t="shared" si="20"/>
        <v>0</v>
      </c>
      <c r="H56" s="529"/>
      <c r="I56" s="513">
        <f t="shared" si="6"/>
        <v>0</v>
      </c>
      <c r="J56" s="529" t="str">
        <f t="shared" si="7"/>
        <v/>
      </c>
    </row>
    <row r="57" spans="1:10" s="486" customFormat="1" x14ac:dyDescent="0.2">
      <c r="A57" s="777" t="s">
        <v>107</v>
      </c>
      <c r="B57" s="513"/>
      <c r="C57" s="513"/>
      <c r="D57" s="513">
        <v>226419</v>
      </c>
      <c r="E57" s="513">
        <f t="shared" si="5"/>
        <v>226419</v>
      </c>
      <c r="F57" s="513"/>
      <c r="G57" s="513">
        <f t="shared" si="20"/>
        <v>0</v>
      </c>
      <c r="H57" s="529"/>
      <c r="I57" s="513"/>
      <c r="J57" s="529"/>
    </row>
    <row r="58" spans="1:10" s="486" customFormat="1" x14ac:dyDescent="0.2">
      <c r="A58" s="777" t="s">
        <v>91</v>
      </c>
      <c r="B58" s="513">
        <v>90000</v>
      </c>
      <c r="C58" s="513"/>
      <c r="D58" s="513"/>
      <c r="E58" s="513">
        <f t="shared" si="5"/>
        <v>90000</v>
      </c>
      <c r="F58" s="513"/>
      <c r="G58" s="513">
        <f t="shared" si="20"/>
        <v>-90000</v>
      </c>
      <c r="H58" s="529">
        <f>G58/B58</f>
        <v>-1</v>
      </c>
      <c r="I58" s="513">
        <f t="shared" si="6"/>
        <v>0</v>
      </c>
      <c r="J58" s="529" t="str">
        <f t="shared" si="7"/>
        <v/>
      </c>
    </row>
    <row r="59" spans="1:10" x14ac:dyDescent="0.2">
      <c r="A59" s="749" t="s">
        <v>964</v>
      </c>
      <c r="B59" s="280"/>
      <c r="C59" s="280">
        <v>603</v>
      </c>
      <c r="D59" s="280">
        <v>250</v>
      </c>
      <c r="E59" s="280">
        <f t="shared" si="5"/>
        <v>853</v>
      </c>
      <c r="F59" s="280"/>
      <c r="G59" s="280">
        <f t="shared" si="20"/>
        <v>0</v>
      </c>
      <c r="H59" s="526"/>
      <c r="I59" s="280">
        <f t="shared" si="6"/>
        <v>0</v>
      </c>
      <c r="J59" s="526" t="str">
        <f t="shared" si="7"/>
        <v/>
      </c>
    </row>
    <row r="60" spans="1:10" x14ac:dyDescent="0.2">
      <c r="A60" s="777" t="s">
        <v>278</v>
      </c>
      <c r="B60" s="280"/>
      <c r="C60" s="280"/>
      <c r="D60" s="280">
        <v>872</v>
      </c>
      <c r="E60" s="280">
        <f t="shared" si="5"/>
        <v>872</v>
      </c>
      <c r="F60" s="280"/>
      <c r="G60" s="280">
        <f t="shared" si="20"/>
        <v>0</v>
      </c>
      <c r="H60" s="526"/>
      <c r="I60" s="280"/>
      <c r="J60" s="526"/>
    </row>
    <row r="61" spans="1:10" x14ac:dyDescent="0.2">
      <c r="A61" s="592"/>
      <c r="B61" s="70"/>
      <c r="C61" s="70"/>
      <c r="D61" s="70"/>
      <c r="E61" s="70">
        <f t="shared" si="5"/>
        <v>0</v>
      </c>
      <c r="F61" s="70"/>
      <c r="G61" s="70">
        <f t="shared" si="20"/>
        <v>0</v>
      </c>
      <c r="H61" s="527"/>
      <c r="I61" s="70">
        <f t="shared" si="6"/>
        <v>0</v>
      </c>
      <c r="J61" s="527" t="str">
        <f t="shared" si="7"/>
        <v/>
      </c>
    </row>
    <row r="62" spans="1:10" x14ac:dyDescent="0.2">
      <c r="A62" s="589" t="s">
        <v>61</v>
      </c>
      <c r="B62" s="279">
        <f>B63+B65</f>
        <v>258000</v>
      </c>
      <c r="C62" s="279"/>
      <c r="D62" s="279"/>
      <c r="E62" s="279">
        <f t="shared" si="5"/>
        <v>258000</v>
      </c>
      <c r="F62" s="279">
        <f>F63+F65</f>
        <v>297000</v>
      </c>
      <c r="G62" s="279">
        <f t="shared" si="20"/>
        <v>39000</v>
      </c>
      <c r="H62" s="523">
        <f>G62/B62</f>
        <v>0.15116279069767441</v>
      </c>
      <c r="I62" s="279">
        <f t="shared" si="6"/>
        <v>39000</v>
      </c>
      <c r="J62" s="523">
        <f t="shared" si="7"/>
        <v>0.15116279069767441</v>
      </c>
    </row>
    <row r="63" spans="1:10" x14ac:dyDescent="0.2">
      <c r="A63" s="591" t="s">
        <v>100</v>
      </c>
      <c r="B63" s="280">
        <f>B64</f>
        <v>6000</v>
      </c>
      <c r="C63" s="280"/>
      <c r="D63" s="280"/>
      <c r="E63" s="280">
        <f t="shared" si="5"/>
        <v>6000</v>
      </c>
      <c r="F63" s="280">
        <f>F64</f>
        <v>6000</v>
      </c>
      <c r="G63" s="280">
        <f t="shared" si="20"/>
        <v>0</v>
      </c>
      <c r="H63" s="526">
        <f>G63/B63</f>
        <v>0</v>
      </c>
      <c r="I63" s="280">
        <f t="shared" si="6"/>
        <v>0</v>
      </c>
      <c r="J63" s="526">
        <f t="shared" si="7"/>
        <v>0</v>
      </c>
    </row>
    <row r="64" spans="1:10" x14ac:dyDescent="0.2">
      <c r="A64" s="739" t="s">
        <v>91</v>
      </c>
      <c r="B64" s="159">
        <v>6000</v>
      </c>
      <c r="C64" s="159"/>
      <c r="D64" s="159"/>
      <c r="E64" s="159">
        <f t="shared" si="5"/>
        <v>6000</v>
      </c>
      <c r="F64" s="159">
        <v>6000</v>
      </c>
      <c r="G64" s="159">
        <f t="shared" si="20"/>
        <v>0</v>
      </c>
      <c r="H64" s="525">
        <f>G64/B64</f>
        <v>0</v>
      </c>
      <c r="I64" s="159">
        <f t="shared" si="6"/>
        <v>0</v>
      </c>
      <c r="J64" s="525">
        <f t="shared" si="7"/>
        <v>0</v>
      </c>
    </row>
    <row r="65" spans="1:10" s="55" customFormat="1" x14ac:dyDescent="0.2">
      <c r="A65" s="591" t="s">
        <v>812</v>
      </c>
      <c r="B65" s="498">
        <v>252000</v>
      </c>
      <c r="C65" s="498"/>
      <c r="D65" s="498"/>
      <c r="E65" s="498">
        <f t="shared" si="5"/>
        <v>252000</v>
      </c>
      <c r="F65" s="498">
        <v>291000</v>
      </c>
      <c r="G65" s="498">
        <f t="shared" si="20"/>
        <v>39000</v>
      </c>
      <c r="H65" s="524">
        <f>G65/B65</f>
        <v>0.15476190476190477</v>
      </c>
      <c r="I65" s="498">
        <f t="shared" si="6"/>
        <v>39000</v>
      </c>
      <c r="J65" s="524">
        <f t="shared" si="7"/>
        <v>0.15476190476190477</v>
      </c>
    </row>
    <row r="66" spans="1:10" x14ac:dyDescent="0.2">
      <c r="A66" s="591"/>
      <c r="B66" s="280"/>
      <c r="C66" s="280"/>
      <c r="D66" s="280"/>
      <c r="E66" s="280">
        <f t="shared" si="5"/>
        <v>0</v>
      </c>
      <c r="F66" s="280"/>
      <c r="G66" s="280">
        <f t="shared" si="20"/>
        <v>0</v>
      </c>
      <c r="H66" s="526"/>
      <c r="I66" s="280">
        <f t="shared" si="6"/>
        <v>0</v>
      </c>
      <c r="J66" s="526" t="str">
        <f t="shared" si="7"/>
        <v/>
      </c>
    </row>
    <row r="67" spans="1:10" x14ac:dyDescent="0.2">
      <c r="A67" s="589" t="s">
        <v>101</v>
      </c>
      <c r="B67" s="279">
        <f>B68+B75+B76+B77</f>
        <v>774027</v>
      </c>
      <c r="C67" s="279">
        <f>C68+C75+C76+C77+C71</f>
        <v>-3915</v>
      </c>
      <c r="D67" s="279">
        <f>D68+D75+D76+D77+D71</f>
        <v>-3300</v>
      </c>
      <c r="E67" s="279">
        <f t="shared" si="5"/>
        <v>766812</v>
      </c>
      <c r="F67" s="279">
        <f>F68+F75+F76+F77+F71</f>
        <v>474100</v>
      </c>
      <c r="G67" s="279">
        <f t="shared" si="20"/>
        <v>-299927</v>
      </c>
      <c r="H67" s="523">
        <f>G67/B67</f>
        <v>-0.38748906691885426</v>
      </c>
      <c r="I67" s="279">
        <f t="shared" si="6"/>
        <v>-292712</v>
      </c>
      <c r="J67" s="523">
        <f t="shared" si="7"/>
        <v>-0.38172589891655323</v>
      </c>
    </row>
    <row r="68" spans="1:10" x14ac:dyDescent="0.2">
      <c r="A68" s="4" t="s">
        <v>113</v>
      </c>
      <c r="B68" s="498">
        <f>B69+B70</f>
        <v>959100</v>
      </c>
      <c r="C68" s="498">
        <f>C69+C70</f>
        <v>-24000</v>
      </c>
      <c r="D68" s="498"/>
      <c r="E68" s="498">
        <f t="shared" si="5"/>
        <v>935100</v>
      </c>
      <c r="F68" s="577">
        <f>F69+F70</f>
        <v>650000</v>
      </c>
      <c r="G68" s="577">
        <f t="shared" si="20"/>
        <v>-309100</v>
      </c>
      <c r="H68" s="757">
        <f>G68/B68</f>
        <v>-0.32228130539047023</v>
      </c>
      <c r="I68" s="577">
        <f t="shared" si="6"/>
        <v>-285100</v>
      </c>
      <c r="J68" s="757">
        <f t="shared" si="7"/>
        <v>-0.30488717784194203</v>
      </c>
    </row>
    <row r="69" spans="1:10" x14ac:dyDescent="0.2">
      <c r="A69" s="739" t="s">
        <v>110</v>
      </c>
      <c r="B69" s="159">
        <v>935100</v>
      </c>
      <c r="C69" s="159"/>
      <c r="D69" s="159"/>
      <c r="E69" s="159">
        <f t="shared" si="5"/>
        <v>935100</v>
      </c>
      <c r="F69" s="598">
        <v>650000</v>
      </c>
      <c r="G69" s="598">
        <f t="shared" si="20"/>
        <v>-285100</v>
      </c>
      <c r="H69" s="529">
        <f>G69/B69</f>
        <v>-0.30488717784194203</v>
      </c>
      <c r="I69" s="598">
        <f t="shared" si="6"/>
        <v>-285100</v>
      </c>
      <c r="J69" s="529">
        <f t="shared" si="7"/>
        <v>-0.30488717784194203</v>
      </c>
    </row>
    <row r="70" spans="1:10" x14ac:dyDescent="0.2">
      <c r="A70" s="739" t="s">
        <v>769</v>
      </c>
      <c r="B70" s="159">
        <v>24000</v>
      </c>
      <c r="C70" s="159">
        <v>-24000</v>
      </c>
      <c r="D70" s="159"/>
      <c r="E70" s="159">
        <f t="shared" si="5"/>
        <v>0</v>
      </c>
      <c r="F70" s="598"/>
      <c r="G70" s="598">
        <f t="shared" ref="G70:G93" si="21">F70-B70</f>
        <v>-24000</v>
      </c>
      <c r="H70" s="529">
        <f>G70/B70</f>
        <v>-1</v>
      </c>
      <c r="I70" s="598">
        <f t="shared" si="6"/>
        <v>0</v>
      </c>
      <c r="J70" s="529" t="str">
        <f t="shared" si="7"/>
        <v/>
      </c>
    </row>
    <row r="71" spans="1:10" x14ac:dyDescent="0.2">
      <c r="A71" s="4" t="s">
        <v>913</v>
      </c>
      <c r="B71" s="159"/>
      <c r="C71" s="159">
        <f>C72+C73+C74</f>
        <v>22085</v>
      </c>
      <c r="D71" s="159"/>
      <c r="E71" s="159">
        <f t="shared" ref="E71:E92" si="22">B71+C71+D71</f>
        <v>22085</v>
      </c>
      <c r="F71" s="159">
        <f>F72</f>
        <v>15000</v>
      </c>
      <c r="G71" s="159">
        <f t="shared" si="21"/>
        <v>15000</v>
      </c>
      <c r="H71" s="525"/>
      <c r="I71" s="159">
        <f t="shared" si="6"/>
        <v>-7085</v>
      </c>
      <c r="J71" s="525">
        <f t="shared" si="7"/>
        <v>-0.3208059769074032</v>
      </c>
    </row>
    <row r="72" spans="1:10" x14ac:dyDescent="0.2">
      <c r="A72" s="739" t="s">
        <v>769</v>
      </c>
      <c r="B72" s="159"/>
      <c r="C72" s="159">
        <v>16000</v>
      </c>
      <c r="D72" s="159"/>
      <c r="E72" s="159">
        <f t="shared" si="22"/>
        <v>16000</v>
      </c>
      <c r="F72" s="598">
        <v>15000</v>
      </c>
      <c r="G72" s="598">
        <f t="shared" si="21"/>
        <v>15000</v>
      </c>
      <c r="H72" s="529"/>
      <c r="I72" s="598">
        <f t="shared" si="6"/>
        <v>-1000</v>
      </c>
      <c r="J72" s="529">
        <f t="shared" si="7"/>
        <v>-6.25E-2</v>
      </c>
    </row>
    <row r="73" spans="1:10" x14ac:dyDescent="0.2">
      <c r="A73" s="739" t="s">
        <v>940</v>
      </c>
      <c r="B73" s="159"/>
      <c r="C73" s="159">
        <v>2585</v>
      </c>
      <c r="D73" s="159"/>
      <c r="E73" s="159">
        <f t="shared" si="22"/>
        <v>2585</v>
      </c>
      <c r="F73" s="159"/>
      <c r="G73" s="159">
        <f t="shared" si="21"/>
        <v>0</v>
      </c>
      <c r="H73" s="525"/>
      <c r="I73" s="159">
        <f t="shared" si="6"/>
        <v>0</v>
      </c>
      <c r="J73" s="525" t="str">
        <f t="shared" si="7"/>
        <v/>
      </c>
    </row>
    <row r="74" spans="1:10" x14ac:dyDescent="0.2">
      <c r="A74" s="739" t="s">
        <v>278</v>
      </c>
      <c r="B74" s="159"/>
      <c r="C74" s="159">
        <v>3500</v>
      </c>
      <c r="D74" s="159"/>
      <c r="E74" s="159">
        <f t="shared" si="22"/>
        <v>3500</v>
      </c>
      <c r="F74" s="159"/>
      <c r="G74" s="159">
        <f t="shared" si="21"/>
        <v>0</v>
      </c>
      <c r="H74" s="525"/>
      <c r="I74" s="159">
        <f t="shared" si="6"/>
        <v>0</v>
      </c>
      <c r="J74" s="525" t="str">
        <f t="shared" si="7"/>
        <v/>
      </c>
    </row>
    <row r="75" spans="1:10" s="55" customFormat="1" x14ac:dyDescent="0.2">
      <c r="A75" s="4" t="s">
        <v>30</v>
      </c>
      <c r="B75" s="498">
        <v>-214573</v>
      </c>
      <c r="C75" s="498"/>
      <c r="D75" s="498"/>
      <c r="E75" s="498">
        <f t="shared" si="22"/>
        <v>-214573</v>
      </c>
      <c r="F75" s="577">
        <v>-220000</v>
      </c>
      <c r="G75" s="577">
        <f t="shared" si="21"/>
        <v>-5427</v>
      </c>
      <c r="H75" s="757">
        <f>G75/B75</f>
        <v>2.52920917356797E-2</v>
      </c>
      <c r="I75" s="577">
        <f t="shared" si="6"/>
        <v>-5427</v>
      </c>
      <c r="J75" s="757">
        <f t="shared" si="7"/>
        <v>2.52920917356797E-2</v>
      </c>
    </row>
    <row r="76" spans="1:10" s="55" customFormat="1" x14ac:dyDescent="0.2">
      <c r="A76" s="4" t="s">
        <v>64</v>
      </c>
      <c r="B76" s="498">
        <v>-10000</v>
      </c>
      <c r="C76" s="498"/>
      <c r="D76" s="498"/>
      <c r="E76" s="498">
        <f t="shared" si="22"/>
        <v>-10000</v>
      </c>
      <c r="F76" s="577">
        <v>-10000</v>
      </c>
      <c r="G76" s="577">
        <f t="shared" si="21"/>
        <v>0</v>
      </c>
      <c r="H76" s="757">
        <f>G76/B76</f>
        <v>0</v>
      </c>
      <c r="I76" s="577">
        <f t="shared" si="6"/>
        <v>0</v>
      </c>
      <c r="J76" s="757">
        <f t="shared" si="7"/>
        <v>0</v>
      </c>
    </row>
    <row r="77" spans="1:10" s="55" customFormat="1" x14ac:dyDescent="0.2">
      <c r="A77" s="4" t="s">
        <v>543</v>
      </c>
      <c r="B77" s="498">
        <f>B78+B79</f>
        <v>39500</v>
      </c>
      <c r="C77" s="498">
        <f>C78+C79+C80+C81</f>
        <v>-2000</v>
      </c>
      <c r="D77" s="498">
        <f>D78+D79+D80+D81</f>
        <v>-3300</v>
      </c>
      <c r="E77" s="498">
        <f t="shared" si="22"/>
        <v>34200</v>
      </c>
      <c r="F77" s="498">
        <f>F78+F79+F81+F80</f>
        <v>39100</v>
      </c>
      <c r="G77" s="498">
        <f t="shared" si="21"/>
        <v>-400</v>
      </c>
      <c r="H77" s="524">
        <f>G77/B77</f>
        <v>-1.0126582278481013E-2</v>
      </c>
      <c r="I77" s="498">
        <f t="shared" si="6"/>
        <v>4900</v>
      </c>
      <c r="J77" s="524">
        <f t="shared" si="7"/>
        <v>0.14327485380116958</v>
      </c>
    </row>
    <row r="78" spans="1:10" s="55" customFormat="1" x14ac:dyDescent="0.2">
      <c r="A78" s="739" t="s">
        <v>769</v>
      </c>
      <c r="B78" s="159">
        <f>8000+1600-700</f>
        <v>8900</v>
      </c>
      <c r="C78" s="159">
        <v>-4000</v>
      </c>
      <c r="D78" s="159">
        <v>-2000</v>
      </c>
      <c r="E78" s="159">
        <f t="shared" si="22"/>
        <v>2900</v>
      </c>
      <c r="F78" s="598">
        <f>4000+1000</f>
        <v>5000</v>
      </c>
      <c r="G78" s="598">
        <f t="shared" si="21"/>
        <v>-3900</v>
      </c>
      <c r="H78" s="529">
        <f>G78/B78</f>
        <v>-0.43820224719101125</v>
      </c>
      <c r="I78" s="598">
        <f t="shared" si="6"/>
        <v>2100</v>
      </c>
      <c r="J78" s="529">
        <f t="shared" si="7"/>
        <v>0.72413793103448276</v>
      </c>
    </row>
    <row r="79" spans="1:10" s="55" customFormat="1" x14ac:dyDescent="0.2">
      <c r="A79" s="739" t="s">
        <v>556</v>
      </c>
      <c r="B79" s="159">
        <v>30600</v>
      </c>
      <c r="C79" s="159"/>
      <c r="D79" s="159">
        <v>-2600</v>
      </c>
      <c r="E79" s="159">
        <f t="shared" si="22"/>
        <v>28000</v>
      </c>
      <c r="F79" s="598">
        <v>30600</v>
      </c>
      <c r="G79" s="598">
        <f t="shared" si="21"/>
        <v>0</v>
      </c>
      <c r="H79" s="529">
        <f>G79/B79</f>
        <v>0</v>
      </c>
      <c r="I79" s="598">
        <f t="shared" ref="I79" si="23">IF(F79=0,0,F79-E79)</f>
        <v>2600</v>
      </c>
      <c r="J79" s="529">
        <f t="shared" ref="J79" si="24">IF(F79=0,"",I79/E79)</f>
        <v>9.285714285714286E-2</v>
      </c>
    </row>
    <row r="80" spans="1:10" s="55" customFormat="1" x14ac:dyDescent="0.2">
      <c r="A80" s="739" t="s">
        <v>940</v>
      </c>
      <c r="B80" s="159"/>
      <c r="C80" s="159">
        <v>1000</v>
      </c>
      <c r="D80" s="159"/>
      <c r="E80" s="159">
        <f t="shared" si="22"/>
        <v>1000</v>
      </c>
      <c r="F80" s="159">
        <v>2000</v>
      </c>
      <c r="G80" s="159">
        <f t="shared" si="21"/>
        <v>2000</v>
      </c>
      <c r="H80" s="525"/>
      <c r="I80" s="159">
        <f t="shared" ref="I80:I93" si="25">IF(F80=0,0,F80-E80)</f>
        <v>1000</v>
      </c>
      <c r="J80" s="525">
        <f t="shared" ref="J80:J93" si="26">IF(F80=0,"",I80/E80)</f>
        <v>1</v>
      </c>
    </row>
    <row r="81" spans="1:10" s="55" customFormat="1" x14ac:dyDescent="0.2">
      <c r="A81" s="739" t="s">
        <v>278</v>
      </c>
      <c r="B81" s="159"/>
      <c r="C81" s="159">
        <v>1000</v>
      </c>
      <c r="D81" s="159">
        <v>1300</v>
      </c>
      <c r="E81" s="159">
        <f t="shared" si="22"/>
        <v>2300</v>
      </c>
      <c r="F81" s="159">
        <v>1500</v>
      </c>
      <c r="G81" s="159">
        <f t="shared" si="21"/>
        <v>1500</v>
      </c>
      <c r="H81" s="525"/>
      <c r="I81" s="159">
        <f t="shared" si="25"/>
        <v>-800</v>
      </c>
      <c r="J81" s="525">
        <f t="shared" si="26"/>
        <v>-0.34782608695652173</v>
      </c>
    </row>
    <row r="82" spans="1:10" s="55" customFormat="1" x14ac:dyDescent="0.2">
      <c r="A82" s="4"/>
      <c r="B82" s="498"/>
      <c r="C82" s="498"/>
      <c r="D82" s="498"/>
      <c r="E82" s="498">
        <f t="shared" si="22"/>
        <v>0</v>
      </c>
      <c r="F82" s="498"/>
      <c r="G82" s="498">
        <f t="shared" si="21"/>
        <v>0</v>
      </c>
      <c r="H82" s="524"/>
      <c r="I82" s="498">
        <f t="shared" si="25"/>
        <v>0</v>
      </c>
      <c r="J82" s="524" t="str">
        <f t="shared" si="26"/>
        <v/>
      </c>
    </row>
    <row r="83" spans="1:10" s="55" customFormat="1" x14ac:dyDescent="0.2">
      <c r="A83" s="589" t="s">
        <v>65</v>
      </c>
      <c r="B83" s="279">
        <f>B84+B86</f>
        <v>467000</v>
      </c>
      <c r="C83" s="279">
        <f>C84+C86</f>
        <v>1233</v>
      </c>
      <c r="D83" s="279">
        <f>D84+D86</f>
        <v>1373</v>
      </c>
      <c r="E83" s="279">
        <f t="shared" si="22"/>
        <v>469606</v>
      </c>
      <c r="F83" s="279">
        <f>F84+F86</f>
        <v>467000</v>
      </c>
      <c r="G83" s="279">
        <f t="shared" si="21"/>
        <v>0</v>
      </c>
      <c r="H83" s="523">
        <f>G83/B83</f>
        <v>0</v>
      </c>
      <c r="I83" s="279">
        <f t="shared" si="25"/>
        <v>-2606</v>
      </c>
      <c r="J83" s="523">
        <f t="shared" si="26"/>
        <v>-5.5493328449806858E-3</v>
      </c>
    </row>
    <row r="84" spans="1:10" s="55" customFormat="1" x14ac:dyDescent="0.2">
      <c r="A84" s="591" t="s">
        <v>140</v>
      </c>
      <c r="B84" s="280">
        <f t="shared" ref="B84:F84" si="27">B85</f>
        <v>400000</v>
      </c>
      <c r="C84" s="280">
        <f t="shared" si="27"/>
        <v>0</v>
      </c>
      <c r="D84" s="280"/>
      <c r="E84" s="280">
        <f t="shared" si="22"/>
        <v>400000</v>
      </c>
      <c r="F84" s="280">
        <f t="shared" si="27"/>
        <v>400000</v>
      </c>
      <c r="G84" s="280">
        <f t="shared" si="21"/>
        <v>0</v>
      </c>
      <c r="H84" s="526">
        <f>G84/B84</f>
        <v>0</v>
      </c>
      <c r="I84" s="280">
        <f t="shared" si="25"/>
        <v>0</v>
      </c>
      <c r="J84" s="526">
        <f t="shared" si="26"/>
        <v>0</v>
      </c>
    </row>
    <row r="85" spans="1:10" s="55" customFormat="1" x14ac:dyDescent="0.2">
      <c r="A85" s="739" t="s">
        <v>91</v>
      </c>
      <c r="B85" s="159">
        <v>400000</v>
      </c>
      <c r="C85" s="159"/>
      <c r="D85" s="159"/>
      <c r="E85" s="159">
        <f t="shared" si="22"/>
        <v>400000</v>
      </c>
      <c r="F85" s="159">
        <v>400000</v>
      </c>
      <c r="G85" s="159">
        <f t="shared" si="21"/>
        <v>0</v>
      </c>
      <c r="H85" s="525">
        <f>G85/B85</f>
        <v>0</v>
      </c>
      <c r="I85" s="159">
        <f t="shared" si="25"/>
        <v>0</v>
      </c>
      <c r="J85" s="525">
        <f t="shared" si="26"/>
        <v>0</v>
      </c>
    </row>
    <row r="86" spans="1:10" s="55" customFormat="1" x14ac:dyDescent="0.2">
      <c r="A86" s="591" t="s">
        <v>114</v>
      </c>
      <c r="B86" s="280">
        <v>67000</v>
      </c>
      <c r="C86" s="280">
        <f>C87+C89</f>
        <v>1233</v>
      </c>
      <c r="D86" s="280">
        <f>D87+D89</f>
        <v>1373</v>
      </c>
      <c r="E86" s="280">
        <f t="shared" si="22"/>
        <v>69606</v>
      </c>
      <c r="F86" s="280">
        <f>SUM(F87:F89)</f>
        <v>67000</v>
      </c>
      <c r="G86" s="280">
        <f t="shared" si="21"/>
        <v>0</v>
      </c>
      <c r="H86" s="526">
        <f>G86/B86</f>
        <v>0</v>
      </c>
      <c r="I86" s="280">
        <f t="shared" si="25"/>
        <v>-2606</v>
      </c>
      <c r="J86" s="526">
        <f t="shared" si="26"/>
        <v>-3.7439301209665835E-2</v>
      </c>
    </row>
    <row r="87" spans="1:10" s="55" customFormat="1" x14ac:dyDescent="0.2">
      <c r="A87" s="739" t="s">
        <v>120</v>
      </c>
      <c r="B87" s="280"/>
      <c r="C87" s="280">
        <v>50</v>
      </c>
      <c r="D87" s="280"/>
      <c r="E87" s="280">
        <f t="shared" si="22"/>
        <v>50</v>
      </c>
      <c r="F87" s="280"/>
      <c r="G87" s="280">
        <f t="shared" si="21"/>
        <v>0</v>
      </c>
      <c r="H87" s="526"/>
      <c r="I87" s="280">
        <f t="shared" si="25"/>
        <v>0</v>
      </c>
      <c r="J87" s="526" t="str">
        <f t="shared" si="26"/>
        <v/>
      </c>
    </row>
    <row r="88" spans="1:10" x14ac:dyDescent="0.2">
      <c r="A88" s="739" t="s">
        <v>91</v>
      </c>
      <c r="B88" s="280">
        <v>67000</v>
      </c>
      <c r="C88" s="280"/>
      <c r="D88" s="280"/>
      <c r="E88" s="280">
        <f t="shared" si="22"/>
        <v>67000</v>
      </c>
      <c r="F88" s="280">
        <v>67000</v>
      </c>
      <c r="G88" s="280">
        <f t="shared" si="21"/>
        <v>0</v>
      </c>
      <c r="H88" s="526">
        <f>G88/B88</f>
        <v>0</v>
      </c>
      <c r="I88" s="280">
        <f t="shared" si="25"/>
        <v>0</v>
      </c>
      <c r="J88" s="526">
        <f t="shared" si="26"/>
        <v>0</v>
      </c>
    </row>
    <row r="89" spans="1:10" x14ac:dyDescent="0.2">
      <c r="A89" s="739" t="s">
        <v>964</v>
      </c>
      <c r="B89" s="280"/>
      <c r="C89" s="280">
        <v>1183</v>
      </c>
      <c r="D89" s="280">
        <v>1373</v>
      </c>
      <c r="E89" s="280">
        <f t="shared" si="22"/>
        <v>2556</v>
      </c>
      <c r="F89" s="280"/>
      <c r="G89" s="280">
        <f t="shared" si="21"/>
        <v>0</v>
      </c>
      <c r="H89" s="526"/>
      <c r="I89" s="280">
        <f t="shared" si="25"/>
        <v>0</v>
      </c>
      <c r="J89" s="526" t="str">
        <f t="shared" si="26"/>
        <v/>
      </c>
    </row>
    <row r="90" spans="1:10" x14ac:dyDescent="0.2">
      <c r="A90" s="122" t="s">
        <v>66</v>
      </c>
      <c r="B90" s="595">
        <f>B91</f>
        <v>7800000</v>
      </c>
      <c r="C90" s="595">
        <f>C91</f>
        <v>2157463</v>
      </c>
      <c r="D90" s="595"/>
      <c r="E90" s="595">
        <f t="shared" si="22"/>
        <v>9957463</v>
      </c>
      <c r="F90" s="595">
        <f>F91</f>
        <v>8600000</v>
      </c>
      <c r="G90" s="595">
        <f t="shared" si="21"/>
        <v>800000</v>
      </c>
      <c r="H90" s="818">
        <f>G90/B90</f>
        <v>0.10256410256410256</v>
      </c>
      <c r="I90" s="595">
        <f t="shared" si="25"/>
        <v>-1357463</v>
      </c>
      <c r="J90" s="818">
        <f t="shared" si="26"/>
        <v>-0.13632619071745483</v>
      </c>
    </row>
    <row r="91" spans="1:10" x14ac:dyDescent="0.2">
      <c r="A91" s="597" t="s">
        <v>792</v>
      </c>
      <c r="B91" s="598">
        <v>7800000</v>
      </c>
      <c r="C91" s="598">
        <v>2157463</v>
      </c>
      <c r="D91" s="598"/>
      <c r="E91" s="598">
        <v>9957463</v>
      </c>
      <c r="F91" s="598">
        <v>8600000</v>
      </c>
      <c r="G91" s="598">
        <f t="shared" si="21"/>
        <v>800000</v>
      </c>
      <c r="H91" s="529">
        <f>G91/B91</f>
        <v>0.10256410256410256</v>
      </c>
      <c r="I91" s="598">
        <f t="shared" si="25"/>
        <v>-1357463</v>
      </c>
      <c r="J91" s="529">
        <f t="shared" si="26"/>
        <v>-0.13632619071745483</v>
      </c>
    </row>
    <row r="92" spans="1:10" x14ac:dyDescent="0.2">
      <c r="A92" s="592"/>
      <c r="B92" s="70"/>
      <c r="C92" s="70"/>
      <c r="D92" s="70"/>
      <c r="E92" s="70">
        <f t="shared" si="22"/>
        <v>0</v>
      </c>
      <c r="F92" s="70"/>
      <c r="G92" s="70">
        <f t="shared" si="21"/>
        <v>0</v>
      </c>
      <c r="H92" s="527"/>
      <c r="I92" s="70">
        <f t="shared" si="25"/>
        <v>0</v>
      </c>
      <c r="J92" s="527" t="str">
        <f t="shared" si="26"/>
        <v/>
      </c>
    </row>
    <row r="93" spans="1:10" x14ac:dyDescent="0.2">
      <c r="A93" s="589" t="s">
        <v>52</v>
      </c>
      <c r="B93" s="279">
        <f>B6+B13+B23+B29+B35+B62+B67+B83+B90</f>
        <v>531539663</v>
      </c>
      <c r="C93" s="279">
        <f>C6+C13+C23+C29+C35+C62+C67+C83+C90</f>
        <v>12073394</v>
      </c>
      <c r="D93" s="279">
        <f>D6+D13+D23+D29+D35+D62+D67+D83+D90</f>
        <v>6693833</v>
      </c>
      <c r="E93" s="279">
        <f>E6+E13+E23+E29+E35+E62+E67+E83+E90</f>
        <v>550306890</v>
      </c>
      <c r="F93" s="279">
        <f>F6+F13+F23+F29+F35+F62+F67+F83+F90</f>
        <v>605229124</v>
      </c>
      <c r="G93" s="279">
        <f t="shared" si="21"/>
        <v>73689461</v>
      </c>
      <c r="H93" s="523">
        <f>G93/B93</f>
        <v>0.13863398374468999</v>
      </c>
      <c r="I93" s="279">
        <f t="shared" si="25"/>
        <v>54922234</v>
      </c>
      <c r="J93" s="523">
        <f t="shared" si="26"/>
        <v>9.980291905849116E-2</v>
      </c>
    </row>
  </sheetData>
  <autoFilter ref="A4:J93" xr:uid="{CC64A52A-5C70-424C-8C9F-20038B8D2447}"/>
  <mergeCells count="3">
    <mergeCell ref="I3:J3"/>
    <mergeCell ref="B3:E3"/>
    <mergeCell ref="G3:H3"/>
  </mergeCells>
  <phoneticPr fontId="37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F19"/>
  <sheetViews>
    <sheetView workbookViewId="0">
      <selection activeCell="B1" sqref="B1"/>
    </sheetView>
  </sheetViews>
  <sheetFormatPr defaultColWidth="9.42578125" defaultRowHeight="12.75" x14ac:dyDescent="0.2"/>
  <cols>
    <col min="1" max="1" width="40" style="17" bestFit="1" customWidth="1"/>
    <col min="2" max="2" width="11.5703125" style="17" bestFit="1" customWidth="1"/>
    <col min="3" max="3" width="10.42578125" style="17" bestFit="1" customWidth="1"/>
    <col min="4" max="4" width="10.42578125" style="17" customWidth="1"/>
    <col min="5" max="5" width="10.42578125" style="17" bestFit="1" customWidth="1"/>
    <col min="6" max="6" width="11.42578125" style="17" bestFit="1" customWidth="1"/>
    <col min="7" max="16384" width="9.42578125" style="17"/>
  </cols>
  <sheetData>
    <row r="1" spans="1:6" x14ac:dyDescent="0.2">
      <c r="A1" s="6" t="s">
        <v>50</v>
      </c>
      <c r="B1" s="10">
        <f ca="1">SUM(B2:B11)</f>
        <v>71731197</v>
      </c>
      <c r="C1" s="10">
        <f t="shared" ref="C1:F1" ca="1" si="0">SUM(C2:C11)</f>
        <v>-4777243</v>
      </c>
      <c r="D1" s="10">
        <f t="shared" ref="D1" ca="1" si="1">SUM(D2:D11)</f>
        <v>-216788</v>
      </c>
      <c r="E1" s="10">
        <f t="shared" ca="1" si="0"/>
        <v>66737166</v>
      </c>
      <c r="F1" s="10">
        <f t="shared" ca="1" si="0"/>
        <v>71281297</v>
      </c>
    </row>
    <row r="2" spans="1:6" x14ac:dyDescent="0.2">
      <c r="A2" s="8" t="s">
        <v>127</v>
      </c>
      <c r="B2" s="10">
        <f ca="1">SUMIF('2.2 OMATULUD'!$A$5:B$782,$A2,'2.2 OMATULUD'!B$5:B$782)</f>
        <v>31642400</v>
      </c>
      <c r="C2" s="10">
        <f ca="1">SUMIF('2.2 OMATULUD'!$A$5:C$782,$A2,'2.2 OMATULUD'!C$5:C$782)</f>
        <v>-6966930</v>
      </c>
      <c r="D2" s="10">
        <f ca="1">SUMIF('2.2 OMATULUD'!$A$5:D$782,$A2,'2.2 OMATULUD'!D$5:D$782)</f>
        <v>-799560</v>
      </c>
      <c r="E2" s="10">
        <f ca="1">SUMIF('2.2 OMATULUD'!$A$5:E$782,$A2,'2.2 OMATULUD'!E$5:E$782)</f>
        <v>23875910</v>
      </c>
      <c r="F2" s="10">
        <f ca="1">SUMIF('2.2 OMATULUD'!$A$5:F$782,$A2,'2.2 OMATULUD'!F$5:F$782)</f>
        <v>27853510</v>
      </c>
    </row>
    <row r="3" spans="1:6" x14ac:dyDescent="0.2">
      <c r="A3" s="8" t="s">
        <v>132</v>
      </c>
      <c r="B3" s="10">
        <f ca="1">SUMIF('2.2 OMATULUD'!$A$5:B$782,$A3,'2.2 OMATULUD'!B$5:B$782)</f>
        <v>4263255</v>
      </c>
      <c r="C3" s="10">
        <f ca="1">SUMIF('2.2 OMATULUD'!$A$5:C$782,$A3,'2.2 OMATULUD'!C$5:C$782)</f>
        <v>330300</v>
      </c>
      <c r="D3" s="10">
        <f ca="1">SUMIF('2.2 OMATULUD'!$A$5:D$782,$A3,'2.2 OMATULUD'!D$5:D$782)</f>
        <v>-10860</v>
      </c>
      <c r="E3" s="10">
        <f ca="1">SUMIF('2.2 OMATULUD'!$A$5:E$782,$A3,'2.2 OMATULUD'!E$5:E$782)</f>
        <v>4582695</v>
      </c>
      <c r="F3" s="10">
        <f ca="1">SUMIF('2.2 OMATULUD'!$A$5:F$782,$A3,'2.2 OMATULUD'!F$5:F$782)</f>
        <v>4460770</v>
      </c>
    </row>
    <row r="4" spans="1:6" x14ac:dyDescent="0.2">
      <c r="A4" s="8" t="s">
        <v>128</v>
      </c>
      <c r="B4" s="10">
        <f ca="1">SUMIF('2.2 OMATULUD'!$A$5:B$782,$A4,'2.2 OMATULUD'!B$5:B$782)</f>
        <v>5001247</v>
      </c>
      <c r="C4" s="10">
        <f ca="1">SUMIF('2.2 OMATULUD'!$A$5:C$782,$A4,'2.2 OMATULUD'!C$5:C$782)</f>
        <v>-941416</v>
      </c>
      <c r="D4" s="10">
        <f ca="1">SUMIF('2.2 OMATULUD'!$A$5:D$782,$A4,'2.2 OMATULUD'!D$5:D$782)</f>
        <v>-947655</v>
      </c>
      <c r="E4" s="10">
        <f ca="1">SUMIF('2.2 OMATULUD'!$A$5:E$782,$A4,'2.2 OMATULUD'!E$5:E$782)</f>
        <v>3112176</v>
      </c>
      <c r="F4" s="10">
        <f ca="1">SUMIF('2.2 OMATULUD'!$A$5:F$782,$A4,'2.2 OMATULUD'!F$5:F$782)</f>
        <v>5069503</v>
      </c>
    </row>
    <row r="5" spans="1:6" x14ac:dyDescent="0.2">
      <c r="A5" s="8" t="s">
        <v>137</v>
      </c>
      <c r="B5" s="10">
        <f ca="1">SUMIF('2.2 OMATULUD'!$A$5:B$782,$A5,'2.2 OMATULUD'!B$5:B$782)</f>
        <v>4333939</v>
      </c>
      <c r="C5" s="10">
        <f ca="1">SUMIF('2.2 OMATULUD'!$A$5:C$782,$A5,'2.2 OMATULUD'!C$5:C$782)</f>
        <v>-42720</v>
      </c>
      <c r="D5" s="10">
        <f ca="1">SUMIF('2.2 OMATULUD'!$A$5:D$782,$A5,'2.2 OMATULUD'!D$5:D$782)</f>
        <v>0</v>
      </c>
      <c r="E5" s="10">
        <f ca="1">SUMIF('2.2 OMATULUD'!$A$5:E$782,$A5,'2.2 OMATULUD'!E$5:E$782)</f>
        <v>4291219</v>
      </c>
      <c r="F5" s="10">
        <f ca="1">SUMIF('2.2 OMATULUD'!$A$5:F$782,$A5,'2.2 OMATULUD'!F$5:F$782)</f>
        <v>4346341</v>
      </c>
    </row>
    <row r="6" spans="1:6" x14ac:dyDescent="0.2">
      <c r="A6" s="8" t="s">
        <v>133</v>
      </c>
      <c r="B6" s="10">
        <f ca="1">SUMIF('2.2 OMATULUD'!$A$5:B$782,$A6,'2.2 OMATULUD'!B$5:B$782)</f>
        <v>2000</v>
      </c>
      <c r="C6" s="10">
        <f ca="1">SUMIF('2.2 OMATULUD'!$A$5:C$782,$A6,'2.2 OMATULUD'!C$5:C$782)</f>
        <v>5600</v>
      </c>
      <c r="D6" s="10">
        <f ca="1">SUMIF('2.2 OMATULUD'!$A$5:D$782,$A6,'2.2 OMATULUD'!D$5:D$782)</f>
        <v>0</v>
      </c>
      <c r="E6" s="10">
        <f ca="1">SUMIF('2.2 OMATULUD'!$A$5:E$782,$A6,'2.2 OMATULUD'!E$5:E$782)</f>
        <v>7600</v>
      </c>
      <c r="F6" s="10">
        <f ca="1">SUMIF('2.2 OMATULUD'!$A$5:F$782,$A6,'2.2 OMATULUD'!F$5:F$782)</f>
        <v>4000</v>
      </c>
    </row>
    <row r="7" spans="1:6" x14ac:dyDescent="0.2">
      <c r="A7" s="8" t="s">
        <v>134</v>
      </c>
      <c r="B7" s="10">
        <f ca="1">SUMIF('2.2 OMATULUD'!$A$5:B$782,$A7,'2.2 OMATULUD'!B$5:B$782)</f>
        <v>7106443</v>
      </c>
      <c r="C7" s="10">
        <f ca="1">SUMIF('2.2 OMATULUD'!$A$5:C$782,$A7,'2.2 OMATULUD'!C$5:C$782)</f>
        <v>1843426</v>
      </c>
      <c r="D7" s="10">
        <f ca="1">SUMIF('2.2 OMATULUD'!$A$5:D$782,$A7,'2.2 OMATULUD'!D$5:D$782)</f>
        <v>264192</v>
      </c>
      <c r="E7" s="10">
        <f ca="1">SUMIF('2.2 OMATULUD'!$A$5:E$782,$A7,'2.2 OMATULUD'!E$5:E$782)</f>
        <v>9214061</v>
      </c>
      <c r="F7" s="10">
        <f ca="1">SUMIF('2.2 OMATULUD'!$A$5:F$782,$A7,'2.2 OMATULUD'!F$5:F$782)</f>
        <v>8820836</v>
      </c>
    </row>
    <row r="8" spans="1:6" x14ac:dyDescent="0.2">
      <c r="A8" s="8" t="s">
        <v>129</v>
      </c>
      <c r="B8" s="10">
        <f ca="1">SUMIF('2.2 OMATULUD'!$A$5:B$782,$A8,'2.2 OMATULUD'!B$5:B$782)</f>
        <v>4611399</v>
      </c>
      <c r="C8" s="10">
        <f ca="1">SUMIF('2.2 OMATULUD'!$A$5:C$782,$A8,'2.2 OMATULUD'!C$5:C$782)</f>
        <v>-512350</v>
      </c>
      <c r="D8" s="10">
        <f ca="1">SUMIF('2.2 OMATULUD'!$A$5:D$782,$A8,'2.2 OMATULUD'!D$5:D$782)</f>
        <v>-265735</v>
      </c>
      <c r="E8" s="10">
        <f ca="1">SUMIF('2.2 OMATULUD'!$A$5:E$782,$A8,'2.2 OMATULUD'!E$5:E$782)</f>
        <v>3833314</v>
      </c>
      <c r="F8" s="10">
        <f ca="1">SUMIF('2.2 OMATULUD'!$A$5:F$782,$A8,'2.2 OMATULUD'!F$5:F$782)</f>
        <v>4548225</v>
      </c>
    </row>
    <row r="9" spans="1:6" x14ac:dyDescent="0.2">
      <c r="A9" s="8" t="s">
        <v>135</v>
      </c>
      <c r="B9" s="10">
        <f ca="1">SUMIF('2.2 OMATULUD'!$A$5:B$782,$A9,'2.2 OMATULUD'!B$5:B$782)</f>
        <v>13110849</v>
      </c>
      <c r="C9" s="10">
        <f ca="1">SUMIF('2.2 OMATULUD'!$A$5:C$782,$A9,'2.2 OMATULUD'!C$5:C$782)</f>
        <v>1594649</v>
      </c>
      <c r="D9" s="10">
        <f ca="1">SUMIF('2.2 OMATULUD'!$A$5:D$782,$A9,'2.2 OMATULUD'!D$5:D$782)</f>
        <v>1538630</v>
      </c>
      <c r="E9" s="10">
        <f ca="1">SUMIF('2.2 OMATULUD'!$A$5:E$782,$A9,'2.2 OMATULUD'!E$5:E$782)</f>
        <v>16244128</v>
      </c>
      <c r="F9" s="10">
        <f ca="1">SUMIF('2.2 OMATULUD'!$A$5:F$782,$A9,'2.2 OMATULUD'!F$5:F$782)</f>
        <v>14499371</v>
      </c>
    </row>
    <row r="10" spans="1:6" x14ac:dyDescent="0.2">
      <c r="A10" s="8" t="s">
        <v>126</v>
      </c>
      <c r="B10" s="10">
        <f ca="1">SUMIF('2.2 OMATULUD'!$A$5:B$782,$A10,'2.2 OMATULUD'!B$5:B$782)</f>
        <v>326375</v>
      </c>
      <c r="C10" s="10">
        <f ca="1">SUMIF('2.2 OMATULUD'!$A$5:C$782,$A10,'2.2 OMATULUD'!C$5:C$782)</f>
        <v>-85167</v>
      </c>
      <c r="D10" s="10">
        <f ca="1">SUMIF('2.2 OMATULUD'!$A$5:D$782,$A10,'2.2 OMATULUD'!D$5:D$782)</f>
        <v>4200</v>
      </c>
      <c r="E10" s="10">
        <f ca="1">SUMIF('2.2 OMATULUD'!$A$5:E$782,$A10,'2.2 OMATULUD'!E$5:E$782)</f>
        <v>245408</v>
      </c>
      <c r="F10" s="10">
        <f ca="1">SUMIF('2.2 OMATULUD'!$A$5:F$782,$A10,'2.2 OMATULUD'!F$5:F$782)</f>
        <v>315041</v>
      </c>
    </row>
    <row r="11" spans="1:6" x14ac:dyDescent="0.2">
      <c r="A11" s="9" t="s">
        <v>136</v>
      </c>
      <c r="B11" s="10">
        <f ca="1">SUMIF('2.2 OMATULUD'!$A$5:B$782,$A11,'2.2 OMATULUD'!B$5:B$782)</f>
        <v>1333290</v>
      </c>
      <c r="C11" s="10">
        <f ca="1">SUMIF('2.2 OMATULUD'!$A$5:C$782,$A11,'2.2 OMATULUD'!C$5:C$782)</f>
        <v>-2635</v>
      </c>
      <c r="D11" s="10">
        <f ca="1">SUMIF('2.2 OMATULUD'!$A$5:D$782,$A11,'2.2 OMATULUD'!D$5:D$782)</f>
        <v>0</v>
      </c>
      <c r="E11" s="10">
        <f ca="1">SUMIF('2.2 OMATULUD'!$A$5:E$782,$A11,'2.2 OMATULUD'!E$5:E$782)</f>
        <v>1330655</v>
      </c>
      <c r="F11" s="10">
        <f ca="1">SUMIF('2.2 OMATULUD'!$A$5:F$782,$A11,'2.2 OMATULUD'!F$5:F$782)</f>
        <v>1363700</v>
      </c>
    </row>
    <row r="12" spans="1:6" x14ac:dyDescent="0.2">
      <c r="A12" s="6" t="s">
        <v>130</v>
      </c>
      <c r="B12" s="10">
        <f ca="1">SUMIF('2.2 OMATULUD'!$A$5:B$782,$A12,'2.2 OMATULUD'!B$5:B$782)</f>
        <v>153000</v>
      </c>
      <c r="C12" s="10">
        <f ca="1">SUMIF('2.2 OMATULUD'!$A$5:C$782,$A12,'2.2 OMATULUD'!C$5:C$782)</f>
        <v>0</v>
      </c>
      <c r="D12" s="10">
        <f ca="1">SUMIF('2.2 OMATULUD'!$A$5:D$782,$A12,'2.2 OMATULUD'!D$5:D$782)</f>
        <v>0</v>
      </c>
      <c r="E12" s="10">
        <f ca="1">SUMIF('2.2 OMATULUD'!$A$5:E$782,$A12,'2.2 OMATULUD'!E$5:E$782)</f>
        <v>153000</v>
      </c>
      <c r="F12" s="10">
        <f ca="1">SUMIF('2.2 OMATULUD'!$A$5:F$782,$A12,'2.2 OMATULUD'!F$5:F$782)</f>
        <v>170000</v>
      </c>
    </row>
    <row r="13" spans="1:6" x14ac:dyDescent="0.2">
      <c r="A13" s="6" t="s">
        <v>125</v>
      </c>
      <c r="B13" s="10">
        <f ca="1">SUMIF('2.2 OMATULUD'!$A$5:B$782,$A13,'2.2 OMATULUD'!B$5:B$782)</f>
        <v>3385370</v>
      </c>
      <c r="C13" s="10">
        <f ca="1">SUMIF('2.2 OMATULUD'!$A$5:C$782,$A13,'2.2 OMATULUD'!C$5:C$782)</f>
        <v>62940</v>
      </c>
      <c r="D13" s="10">
        <f ca="1">SUMIF('2.2 OMATULUD'!$A$5:D$782,$A13,'2.2 OMATULUD'!D$5:D$782)</f>
        <v>70981</v>
      </c>
      <c r="E13" s="10">
        <f ca="1">SUMIF('2.2 OMATULUD'!$A$5:E$782,$A13,'2.2 OMATULUD'!E$5:E$782)</f>
        <v>3519291</v>
      </c>
      <c r="F13" s="10">
        <f ca="1">SUMIF('2.2 OMATULUD'!$A$5:F$782,$A13,'2.2 OMATULUD'!F$5:F$782)</f>
        <v>3155430</v>
      </c>
    </row>
    <row r="14" spans="1:6" x14ac:dyDescent="0.2">
      <c r="A14" s="6" t="s">
        <v>131</v>
      </c>
      <c r="B14" s="10">
        <f ca="1">SUMIF('2.2 OMATULUD'!$A$5:B$782,$A14,'2.2 OMATULUD'!B$5:B$782)</f>
        <v>2269799</v>
      </c>
      <c r="C14" s="10">
        <f ca="1">SUMIF('2.2 OMATULUD'!$A$5:C$782,$A14,'2.2 OMATULUD'!C$5:C$782)</f>
        <v>-785265</v>
      </c>
      <c r="D14" s="10">
        <f ca="1">SUMIF('2.2 OMATULUD'!$A$5:D$782,$A14,'2.2 OMATULUD'!D$5:D$782)</f>
        <v>-102417</v>
      </c>
      <c r="E14" s="10">
        <f ca="1">SUMIF('2.2 OMATULUD'!$A$5:E$782,$A14,'2.2 OMATULUD'!E$5:E$782)</f>
        <v>1382117</v>
      </c>
      <c r="F14" s="10">
        <f ca="1">SUMIF('2.2 OMATULUD'!$A$5:F$782,$A14,'2.2 OMATULUD'!F$5:F$782)</f>
        <v>2135578</v>
      </c>
    </row>
    <row r="15" spans="1:6" x14ac:dyDescent="0.2">
      <c r="A15" s="6" t="s">
        <v>124</v>
      </c>
      <c r="B15" s="10">
        <f ca="1">SUMIF('2.2 OMATULUD'!$A$5:B$782,$A15,'2.2 OMATULUD'!B$5:B$782)</f>
        <v>11549532</v>
      </c>
      <c r="C15" s="10">
        <f ca="1">SUMIF('2.2 OMATULUD'!$A$5:C$782,$A15,'2.2 OMATULUD'!C$5:C$782)</f>
        <v>-618528</v>
      </c>
      <c r="D15" s="10">
        <f ca="1">SUMIF('2.2 OMATULUD'!$A$5:D$782,$A15,'2.2 OMATULUD'!D$5:D$782)</f>
        <v>-845910</v>
      </c>
      <c r="E15" s="10">
        <f ca="1">SUMIF('2.2 OMATULUD'!$A$5:E$782,$A15,'2.2 OMATULUD'!E$5:E$782)</f>
        <v>10085094</v>
      </c>
      <c r="F15" s="10">
        <f ca="1">SUMIF('2.2 OMATULUD'!$A$5:F$782,$A15,'2.2 OMATULUD'!F$5:F$782)</f>
        <v>12712734</v>
      </c>
    </row>
    <row r="16" spans="1:6" x14ac:dyDescent="0.2">
      <c r="A16" s="72" t="s">
        <v>51</v>
      </c>
      <c r="B16" s="10">
        <f ca="1">SUMIF('2.2 OMATULUD'!$A$5:B$782,$A16,'2.2 OMATULUD'!B$5:B$782)</f>
        <v>0</v>
      </c>
      <c r="C16" s="10">
        <f ca="1">SUMIF('2.2 OMATULUD'!$A$5:C$782,$A16,'2.2 OMATULUD'!C$5:C$782)</f>
        <v>0</v>
      </c>
      <c r="D16" s="10">
        <f ca="1">SUMIF('2.2 OMATULUD'!$A$5:D$782,$A16,'2.2 OMATULUD'!D$5:D$782)</f>
        <v>0</v>
      </c>
      <c r="E16" s="10">
        <f ca="1">SUMIF('2.2 OMATULUD'!$A$5:E$782,$A16,'2.2 OMATULUD'!E$5:E$782)</f>
        <v>0</v>
      </c>
      <c r="F16" s="10">
        <f ca="1">SUMIF('2.2 OMATULUD'!$A$5:F$782,$A16,'2.2 OMATULUD'!F$5:F$782)</f>
        <v>0</v>
      </c>
    </row>
    <row r="17" spans="1:6" x14ac:dyDescent="0.2">
      <c r="A17" s="65" t="s">
        <v>142</v>
      </c>
      <c r="B17" s="10">
        <f ca="1">SUMIF('2.2 OMATULUD'!$A$5:B$782,$A17,'2.2 OMATULUD'!B$5:B$782)</f>
        <v>5000</v>
      </c>
      <c r="C17" s="10">
        <f ca="1">SUMIF('2.2 OMATULUD'!$A$5:C$782,$A17,'2.2 OMATULUD'!C$5:C$782)</f>
        <v>0</v>
      </c>
      <c r="D17" s="10">
        <f ca="1">SUMIF('2.2 OMATULUD'!$A$5:D$782,$A17,'2.2 OMATULUD'!D$5:D$782)</f>
        <v>-1000</v>
      </c>
      <c r="E17" s="10">
        <f ca="1">SUMIF('2.2 OMATULUD'!$A$5:E$782,$A17,'2.2 OMATULUD'!E$5:E$782)</f>
        <v>4000</v>
      </c>
      <c r="F17" s="10">
        <f ca="1">SUMIF('2.2 OMATULUD'!$A$5:F$782,$A17,'2.2 OMATULUD'!F$5:F$782)</f>
        <v>3500</v>
      </c>
    </row>
    <row r="18" spans="1:6" x14ac:dyDescent="0.2">
      <c r="A18" s="3" t="s">
        <v>52</v>
      </c>
      <c r="B18" s="11">
        <f ca="1">B12+B13+B14+B15+B1+B17</f>
        <v>89093898</v>
      </c>
      <c r="C18" s="11">
        <f t="shared" ref="C18:F18" ca="1" si="2">C12+C13+C14+C15+C1+C17</f>
        <v>-6118096</v>
      </c>
      <c r="D18" s="11">
        <f t="shared" ref="D18" ca="1" si="3">D12+D13+D14+D15+D1+D17</f>
        <v>-1095134</v>
      </c>
      <c r="E18" s="11">
        <f t="shared" ca="1" si="2"/>
        <v>81880668</v>
      </c>
      <c r="F18" s="11">
        <f t="shared" ca="1" si="2"/>
        <v>89458539</v>
      </c>
    </row>
    <row r="19" spans="1:6" x14ac:dyDescent="0.2">
      <c r="A19" s="6"/>
      <c r="B19" s="62">
        <f ca="1">B18-'2.2 OMATULUD'!B782</f>
        <v>0</v>
      </c>
      <c r="C19" s="62">
        <f ca="1">C18-'2.2 OMATULUD'!C782</f>
        <v>0</v>
      </c>
      <c r="D19" s="62">
        <f ca="1">D18-'2.2 OMATULUD'!D782</f>
        <v>0</v>
      </c>
      <c r="E19" s="62">
        <f ca="1">E18-'2.2 OMATULUD'!E782</f>
        <v>0</v>
      </c>
      <c r="F19" s="62">
        <f ca="1">F18-'2.2 OMATULUD'!F782</f>
        <v>0</v>
      </c>
    </row>
  </sheetData>
  <phoneticPr fontId="37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theme="9" tint="0.79998168889431442"/>
  </sheetPr>
  <dimension ref="A1:J832"/>
  <sheetViews>
    <sheetView showZeros="0" zoomScaleNormal="100" workbookViewId="0">
      <pane xSplit="1" ySplit="3" topLeftCell="B268" activePane="bottomRight" state="frozen"/>
      <selection activeCell="H16" sqref="H16:H20"/>
      <selection pane="topRight" activeCell="H16" sqref="H16:H20"/>
      <selection pane="bottomLeft" activeCell="H16" sqref="H16:H20"/>
      <selection pane="bottomRight" activeCell="C28" sqref="C28"/>
    </sheetView>
  </sheetViews>
  <sheetFormatPr defaultColWidth="9.42578125" defaultRowHeight="12.75" x14ac:dyDescent="0.2"/>
  <cols>
    <col min="1" max="1" width="33" style="37" customWidth="1"/>
    <col min="2" max="4" width="11.5703125" style="246" customWidth="1"/>
    <col min="5" max="5" width="11.85546875" style="59" customWidth="1"/>
    <col min="6" max="6" width="12.5703125" style="59" bestFit="1" customWidth="1"/>
    <col min="7" max="7" width="11.140625" style="59" bestFit="1" customWidth="1"/>
    <col min="8" max="8" width="7.85546875" style="59" bestFit="1" customWidth="1"/>
    <col min="9" max="9" width="11.140625" style="59" bestFit="1" customWidth="1"/>
    <col min="10" max="16384" width="9.42578125" style="59"/>
  </cols>
  <sheetData>
    <row r="1" spans="1:10" ht="15" x14ac:dyDescent="0.25">
      <c r="A1" s="1" t="s">
        <v>122</v>
      </c>
      <c r="B1" s="243"/>
      <c r="C1" s="243"/>
      <c r="D1" s="243"/>
      <c r="F1" s="521"/>
    </row>
    <row r="2" spans="1:10" ht="15" x14ac:dyDescent="0.25">
      <c r="A2" s="1"/>
      <c r="B2" s="1000">
        <v>2021</v>
      </c>
      <c r="C2" s="1001"/>
      <c r="D2" s="1001"/>
      <c r="E2" s="1002"/>
      <c r="F2" s="807">
        <v>2022</v>
      </c>
      <c r="G2" s="998" t="s">
        <v>1075</v>
      </c>
      <c r="H2" s="999"/>
      <c r="I2" s="996" t="s">
        <v>1076</v>
      </c>
      <c r="J2" s="997"/>
    </row>
    <row r="3" spans="1:10" ht="25.5" x14ac:dyDescent="0.2">
      <c r="A3" s="175"/>
      <c r="B3" s="813" t="s">
        <v>859</v>
      </c>
      <c r="C3" s="813" t="s">
        <v>984</v>
      </c>
      <c r="D3" s="813" t="s">
        <v>1066</v>
      </c>
      <c r="E3" s="813" t="s">
        <v>860</v>
      </c>
      <c r="F3" s="808" t="s">
        <v>1074</v>
      </c>
      <c r="G3" s="809" t="s">
        <v>53</v>
      </c>
      <c r="H3" s="810" t="s">
        <v>981</v>
      </c>
      <c r="I3" s="811" t="s">
        <v>53</v>
      </c>
      <c r="J3" s="812" t="s">
        <v>981</v>
      </c>
    </row>
    <row r="5" spans="1:10" s="69" customFormat="1" x14ac:dyDescent="0.2">
      <c r="A5" s="78" t="s">
        <v>123</v>
      </c>
      <c r="B5" s="87">
        <f t="shared" ref="B5" si="0">B6</f>
        <v>28450</v>
      </c>
      <c r="C5" s="87">
        <f t="shared" ref="C5" si="1">C6</f>
        <v>-4950</v>
      </c>
      <c r="D5" s="87"/>
      <c r="E5" s="87">
        <f>B5+C5+D5</f>
        <v>23500</v>
      </c>
      <c r="F5" s="548">
        <f t="shared" ref="F5" si="2">F6</f>
        <v>28450</v>
      </c>
      <c r="G5" s="548">
        <f>F5-B5</f>
        <v>0</v>
      </c>
      <c r="H5" s="818">
        <f>G5/B5</f>
        <v>0</v>
      </c>
      <c r="I5" s="548">
        <f>F5-E5</f>
        <v>4950</v>
      </c>
      <c r="J5" s="818">
        <f>I5/E5</f>
        <v>0.21063829787234042</v>
      </c>
    </row>
    <row r="6" spans="1:10" s="69" customFormat="1" x14ac:dyDescent="0.2">
      <c r="A6" s="76" t="s">
        <v>124</v>
      </c>
      <c r="B6" s="88">
        <f t="shared" ref="B6" si="3">B8+B7</f>
        <v>28450</v>
      </c>
      <c r="C6" s="88">
        <f t="shared" ref="C6" si="4">C8+C7</f>
        <v>-4950</v>
      </c>
      <c r="D6" s="88"/>
      <c r="E6" s="88">
        <f t="shared" ref="E6:E50" si="5">B6+C6+D6</f>
        <v>23500</v>
      </c>
      <c r="F6" s="549">
        <f t="shared" ref="F6" si="6">F8+F7</f>
        <v>28450</v>
      </c>
      <c r="G6" s="549">
        <f t="shared" ref="G6:G69" si="7">F6-B6</f>
        <v>0</v>
      </c>
      <c r="H6" s="815">
        <f t="shared" ref="H6:H69" si="8">G6/B6</f>
        <v>0</v>
      </c>
      <c r="I6" s="549">
        <f t="shared" ref="I6:I69" si="9">F6-E6</f>
        <v>4950</v>
      </c>
      <c r="J6" s="815">
        <f t="shared" ref="J6:J69" si="10">I6/E6</f>
        <v>0.21063829787234042</v>
      </c>
    </row>
    <row r="7" spans="1:10" s="69" customFormat="1" x14ac:dyDescent="0.2">
      <c r="A7" s="77" t="s">
        <v>162</v>
      </c>
      <c r="B7" s="90">
        <v>22050</v>
      </c>
      <c r="C7" s="90"/>
      <c r="D7" s="90"/>
      <c r="E7" s="90">
        <f t="shared" si="5"/>
        <v>22050</v>
      </c>
      <c r="F7" s="558">
        <v>22050</v>
      </c>
      <c r="G7" s="558">
        <f t="shared" si="7"/>
        <v>0</v>
      </c>
      <c r="H7" s="814">
        <f t="shared" si="8"/>
        <v>0</v>
      </c>
      <c r="I7" s="558">
        <f t="shared" si="9"/>
        <v>0</v>
      </c>
      <c r="J7" s="814">
        <f t="shared" si="10"/>
        <v>0</v>
      </c>
    </row>
    <row r="8" spans="1:10" s="69" customFormat="1" x14ac:dyDescent="0.2">
      <c r="A8" s="77" t="s">
        <v>163</v>
      </c>
      <c r="B8" s="90">
        <v>6400</v>
      </c>
      <c r="C8" s="90">
        <v>-4950</v>
      </c>
      <c r="D8" s="90"/>
      <c r="E8" s="90">
        <f t="shared" si="5"/>
        <v>1450</v>
      </c>
      <c r="F8" s="558">
        <v>6400</v>
      </c>
      <c r="G8" s="558">
        <f t="shared" si="7"/>
        <v>0</v>
      </c>
      <c r="H8" s="814">
        <f t="shared" si="8"/>
        <v>0</v>
      </c>
      <c r="I8" s="558">
        <f t="shared" si="9"/>
        <v>4950</v>
      </c>
      <c r="J8" s="814">
        <f t="shared" si="10"/>
        <v>3.4137931034482758</v>
      </c>
    </row>
    <row r="9" spans="1:10" x14ac:dyDescent="0.2">
      <c r="A9" s="77"/>
      <c r="B9" s="90"/>
      <c r="C9" s="90"/>
      <c r="D9" s="90"/>
      <c r="E9" s="90">
        <f t="shared" si="5"/>
        <v>0</v>
      </c>
      <c r="F9" s="90"/>
      <c r="G9" s="90">
        <f t="shared" si="7"/>
        <v>0</v>
      </c>
      <c r="H9" s="527"/>
      <c r="I9" s="90">
        <f t="shared" si="9"/>
        <v>0</v>
      </c>
      <c r="J9" s="527"/>
    </row>
    <row r="10" spans="1:10" x14ac:dyDescent="0.2">
      <c r="A10" s="78" t="s">
        <v>803</v>
      </c>
      <c r="B10" s="87">
        <f>B12+B15</f>
        <v>75000</v>
      </c>
      <c r="C10" s="87"/>
      <c r="D10" s="548">
        <f t="shared" ref="D10" si="11">D12+D15</f>
        <v>-30000</v>
      </c>
      <c r="E10" s="87">
        <f t="shared" si="5"/>
        <v>45000</v>
      </c>
      <c r="F10" s="548">
        <f>F11+F15</f>
        <v>75000</v>
      </c>
      <c r="G10" s="548">
        <f t="shared" si="7"/>
        <v>0</v>
      </c>
      <c r="H10" s="818">
        <f t="shared" si="8"/>
        <v>0</v>
      </c>
      <c r="I10" s="548">
        <f t="shared" si="9"/>
        <v>30000</v>
      </c>
      <c r="J10" s="818">
        <f t="shared" si="10"/>
        <v>0.66666666666666663</v>
      </c>
    </row>
    <row r="11" spans="1:10" x14ac:dyDescent="0.2">
      <c r="A11" s="76" t="s">
        <v>804</v>
      </c>
      <c r="B11" s="269">
        <f>SUM(B12)</f>
        <v>65000</v>
      </c>
      <c r="C11" s="269"/>
      <c r="D11" s="576">
        <f t="shared" ref="D11" si="12">SUM(D12)</f>
        <v>-30000</v>
      </c>
      <c r="E11" s="269">
        <f t="shared" si="5"/>
        <v>35000</v>
      </c>
      <c r="F11" s="576">
        <f>F12</f>
        <v>65000</v>
      </c>
      <c r="G11" s="576">
        <f t="shared" si="7"/>
        <v>0</v>
      </c>
      <c r="H11" s="757">
        <f t="shared" si="8"/>
        <v>0</v>
      </c>
      <c r="I11" s="576">
        <f t="shared" si="9"/>
        <v>30000</v>
      </c>
      <c r="J11" s="757">
        <f t="shared" si="10"/>
        <v>0.8571428571428571</v>
      </c>
    </row>
    <row r="12" spans="1:10" x14ac:dyDescent="0.2">
      <c r="A12" s="76" t="s">
        <v>125</v>
      </c>
      <c r="B12" s="88">
        <f>+B13</f>
        <v>65000</v>
      </c>
      <c r="C12" s="88"/>
      <c r="D12" s="549">
        <f>+D13</f>
        <v>-30000</v>
      </c>
      <c r="E12" s="88">
        <f t="shared" si="5"/>
        <v>35000</v>
      </c>
      <c r="F12" s="549">
        <f>F13</f>
        <v>65000</v>
      </c>
      <c r="G12" s="549">
        <f t="shared" si="7"/>
        <v>0</v>
      </c>
      <c r="H12" s="815">
        <f t="shared" si="8"/>
        <v>0</v>
      </c>
      <c r="I12" s="549">
        <f t="shared" si="9"/>
        <v>30000</v>
      </c>
      <c r="J12" s="815">
        <f t="shared" si="10"/>
        <v>0.8571428571428571</v>
      </c>
    </row>
    <row r="13" spans="1:10" ht="25.5" x14ac:dyDescent="0.2">
      <c r="A13" s="79" t="s">
        <v>164</v>
      </c>
      <c r="B13" s="89">
        <v>65000</v>
      </c>
      <c r="C13" s="89"/>
      <c r="D13" s="553">
        <v>-30000</v>
      </c>
      <c r="E13" s="89">
        <f t="shared" si="5"/>
        <v>35000</v>
      </c>
      <c r="F13" s="553">
        <v>65000</v>
      </c>
      <c r="G13" s="553">
        <f t="shared" si="7"/>
        <v>0</v>
      </c>
      <c r="H13" s="819">
        <f t="shared" si="8"/>
        <v>0</v>
      </c>
      <c r="I13" s="553">
        <f t="shared" si="9"/>
        <v>30000</v>
      </c>
      <c r="J13" s="819">
        <f t="shared" si="10"/>
        <v>0.8571428571428571</v>
      </c>
    </row>
    <row r="14" spans="1:10" x14ac:dyDescent="0.2">
      <c r="A14" s="78"/>
      <c r="B14" s="87"/>
      <c r="C14" s="87"/>
      <c r="D14" s="87"/>
      <c r="E14" s="87">
        <f t="shared" si="5"/>
        <v>0</v>
      </c>
      <c r="F14" s="548">
        <f t="shared" ref="F14:F17" si="13">C14+E14</f>
        <v>0</v>
      </c>
      <c r="G14" s="548">
        <f t="shared" si="7"/>
        <v>0</v>
      </c>
      <c r="H14" s="818"/>
      <c r="I14" s="548">
        <f t="shared" si="9"/>
        <v>0</v>
      </c>
      <c r="J14" s="818"/>
    </row>
    <row r="15" spans="1:10" x14ac:dyDescent="0.2">
      <c r="A15" s="76" t="s">
        <v>805</v>
      </c>
      <c r="B15" s="269">
        <f>B16</f>
        <v>10000</v>
      </c>
      <c r="C15" s="269"/>
      <c r="D15" s="269"/>
      <c r="E15" s="269">
        <f t="shared" si="5"/>
        <v>10000</v>
      </c>
      <c r="F15" s="576">
        <f t="shared" si="13"/>
        <v>10000</v>
      </c>
      <c r="G15" s="576">
        <f t="shared" si="7"/>
        <v>0</v>
      </c>
      <c r="H15" s="757">
        <f t="shared" si="8"/>
        <v>0</v>
      </c>
      <c r="I15" s="576">
        <f t="shared" si="9"/>
        <v>0</v>
      </c>
      <c r="J15" s="757">
        <f t="shared" si="10"/>
        <v>0</v>
      </c>
    </row>
    <row r="16" spans="1:10" x14ac:dyDescent="0.2">
      <c r="A16" s="76" t="s">
        <v>126</v>
      </c>
      <c r="B16" s="88">
        <f t="shared" ref="B16" si="14">B17</f>
        <v>10000</v>
      </c>
      <c r="C16" s="88"/>
      <c r="D16" s="88"/>
      <c r="E16" s="88">
        <f t="shared" si="5"/>
        <v>10000</v>
      </c>
      <c r="F16" s="549">
        <f t="shared" si="13"/>
        <v>10000</v>
      </c>
      <c r="G16" s="549">
        <f t="shared" si="7"/>
        <v>0</v>
      </c>
      <c r="H16" s="815">
        <f t="shared" si="8"/>
        <v>0</v>
      </c>
      <c r="I16" s="549">
        <f t="shared" si="9"/>
        <v>0</v>
      </c>
      <c r="J16" s="815">
        <f t="shared" si="10"/>
        <v>0</v>
      </c>
    </row>
    <row r="17" spans="1:10" x14ac:dyDescent="0.2">
      <c r="A17" s="77" t="s">
        <v>165</v>
      </c>
      <c r="B17" s="90">
        <v>10000</v>
      </c>
      <c r="C17" s="90"/>
      <c r="D17" s="90"/>
      <c r="E17" s="90">
        <f t="shared" si="5"/>
        <v>10000</v>
      </c>
      <c r="F17" s="558">
        <f t="shared" si="13"/>
        <v>10000</v>
      </c>
      <c r="G17" s="558">
        <f t="shared" si="7"/>
        <v>0</v>
      </c>
      <c r="H17" s="814">
        <f t="shared" si="8"/>
        <v>0</v>
      </c>
      <c r="I17" s="558">
        <f t="shared" si="9"/>
        <v>0</v>
      </c>
      <c r="J17" s="814">
        <f t="shared" si="10"/>
        <v>0</v>
      </c>
    </row>
    <row r="18" spans="1:10" x14ac:dyDescent="0.2">
      <c r="A18" s="76"/>
      <c r="B18" s="88"/>
      <c r="C18" s="88"/>
      <c r="D18" s="88"/>
      <c r="E18" s="88">
        <f t="shared" si="5"/>
        <v>0</v>
      </c>
      <c r="F18" s="88"/>
      <c r="G18" s="88">
        <f t="shared" si="7"/>
        <v>0</v>
      </c>
      <c r="H18" s="526"/>
      <c r="I18" s="88">
        <f t="shared" si="9"/>
        <v>0</v>
      </c>
      <c r="J18" s="526"/>
    </row>
    <row r="19" spans="1:10" x14ac:dyDescent="0.2">
      <c r="A19" s="78" t="s">
        <v>806</v>
      </c>
      <c r="B19" s="87">
        <f>SUM(B20+B33+B42)</f>
        <v>5986979</v>
      </c>
      <c r="C19" s="87">
        <f>C20+C33+C42</f>
        <v>-116120</v>
      </c>
      <c r="D19" s="548">
        <f>D20+D33+D42</f>
        <v>-9150</v>
      </c>
      <c r="E19" s="548">
        <f t="shared" si="5"/>
        <v>5861709</v>
      </c>
      <c r="F19" s="87">
        <f>F20+F33+F42</f>
        <v>5888879</v>
      </c>
      <c r="G19" s="87">
        <f t="shared" si="7"/>
        <v>-98100</v>
      </c>
      <c r="H19" s="523">
        <f t="shared" si="8"/>
        <v>-1.6385559394813311E-2</v>
      </c>
      <c r="I19" s="87">
        <f t="shared" si="9"/>
        <v>27170</v>
      </c>
      <c r="J19" s="523">
        <f t="shared" si="10"/>
        <v>4.6351669794594038E-3</v>
      </c>
    </row>
    <row r="20" spans="1:10" x14ac:dyDescent="0.2">
      <c r="A20" s="76" t="s">
        <v>807</v>
      </c>
      <c r="B20" s="88">
        <f>B23+B28+B30</f>
        <v>553640</v>
      </c>
      <c r="C20" s="88">
        <f>C23+C28+C30</f>
        <v>-30000</v>
      </c>
      <c r="D20" s="549">
        <f>D23+D28+D30+D21</f>
        <v>-48800</v>
      </c>
      <c r="E20" s="549">
        <f t="shared" si="5"/>
        <v>474840</v>
      </c>
      <c r="F20" s="549">
        <f>F23+F28+F30</f>
        <v>388838</v>
      </c>
      <c r="G20" s="549">
        <f t="shared" si="7"/>
        <v>-164802</v>
      </c>
      <c r="H20" s="815">
        <f t="shared" si="8"/>
        <v>-0.29766996604291596</v>
      </c>
      <c r="I20" s="549">
        <f t="shared" si="9"/>
        <v>-86002</v>
      </c>
      <c r="J20" s="815">
        <f t="shared" si="10"/>
        <v>-0.1811178502232331</v>
      </c>
    </row>
    <row r="21" spans="1:10" x14ac:dyDescent="0.2">
      <c r="A21" s="606" t="s">
        <v>126</v>
      </c>
      <c r="B21" s="549"/>
      <c r="C21" s="549"/>
      <c r="D21" s="549">
        <f>D22</f>
        <v>8700</v>
      </c>
      <c r="E21" s="549">
        <f t="shared" si="5"/>
        <v>8700</v>
      </c>
      <c r="F21" s="549"/>
      <c r="G21" s="549">
        <f t="shared" si="7"/>
        <v>0</v>
      </c>
      <c r="H21" s="815"/>
      <c r="I21" s="549">
        <f t="shared" si="9"/>
        <v>-8700</v>
      </c>
      <c r="J21" s="815">
        <f t="shared" si="10"/>
        <v>-1</v>
      </c>
    </row>
    <row r="22" spans="1:10" x14ac:dyDescent="0.2">
      <c r="A22" s="516" t="s">
        <v>1036</v>
      </c>
      <c r="B22" s="549"/>
      <c r="C22" s="549"/>
      <c r="D22" s="603">
        <v>8700</v>
      </c>
      <c r="E22" s="603">
        <f t="shared" si="5"/>
        <v>8700</v>
      </c>
      <c r="F22" s="549"/>
      <c r="G22" s="549">
        <f t="shared" si="7"/>
        <v>0</v>
      </c>
      <c r="H22" s="815"/>
      <c r="I22" s="549">
        <f t="shared" si="9"/>
        <v>-8700</v>
      </c>
      <c r="J22" s="815">
        <f t="shared" si="10"/>
        <v>-1</v>
      </c>
    </row>
    <row r="23" spans="1:10" x14ac:dyDescent="0.2">
      <c r="A23" s="76" t="s">
        <v>125</v>
      </c>
      <c r="B23" s="88">
        <f>B24+B25+B26+B27</f>
        <v>528640</v>
      </c>
      <c r="C23" s="88">
        <f>C24+C26+C25+C27</f>
        <v>-30000</v>
      </c>
      <c r="D23" s="549">
        <f>D24+D26+D25+D27</f>
        <v>-61500</v>
      </c>
      <c r="E23" s="549">
        <f t="shared" si="5"/>
        <v>437140</v>
      </c>
      <c r="F23" s="549">
        <f>F24+F25+F26+F27</f>
        <v>365338</v>
      </c>
      <c r="G23" s="549">
        <f t="shared" si="7"/>
        <v>-163302</v>
      </c>
      <c r="H23" s="815">
        <f t="shared" si="8"/>
        <v>-0.30890965496368039</v>
      </c>
      <c r="I23" s="549">
        <f t="shared" si="9"/>
        <v>-71802</v>
      </c>
      <c r="J23" s="815">
        <f t="shared" si="10"/>
        <v>-0.16425401473212242</v>
      </c>
    </row>
    <row r="24" spans="1:10" x14ac:dyDescent="0.2">
      <c r="A24" s="77" t="s">
        <v>186</v>
      </c>
      <c r="B24" s="90">
        <v>258320</v>
      </c>
      <c r="C24" s="90"/>
      <c r="D24" s="558"/>
      <c r="E24" s="558">
        <f t="shared" si="5"/>
        <v>258320</v>
      </c>
      <c r="F24" s="558">
        <v>112718</v>
      </c>
      <c r="G24" s="558">
        <f t="shared" si="7"/>
        <v>-145602</v>
      </c>
      <c r="H24" s="814">
        <f t="shared" si="8"/>
        <v>-0.56364973676060703</v>
      </c>
      <c r="I24" s="558">
        <f t="shared" si="9"/>
        <v>-145602</v>
      </c>
      <c r="J24" s="814">
        <f t="shared" si="10"/>
        <v>-0.56364973676060703</v>
      </c>
    </row>
    <row r="25" spans="1:10" x14ac:dyDescent="0.2">
      <c r="A25" s="77" t="s">
        <v>174</v>
      </c>
      <c r="B25" s="90">
        <v>111200</v>
      </c>
      <c r="C25" s="90"/>
      <c r="D25" s="558">
        <v>-32000</v>
      </c>
      <c r="E25" s="558">
        <v>79200</v>
      </c>
      <c r="F25" s="558">
        <v>114000</v>
      </c>
      <c r="G25" s="558">
        <f t="shared" si="7"/>
        <v>2800</v>
      </c>
      <c r="H25" s="814">
        <f t="shared" si="8"/>
        <v>2.5179856115107913E-2</v>
      </c>
      <c r="I25" s="558">
        <f t="shared" si="9"/>
        <v>34800</v>
      </c>
      <c r="J25" s="814">
        <f t="shared" si="10"/>
        <v>0.43939393939393939</v>
      </c>
    </row>
    <row r="26" spans="1:10" x14ac:dyDescent="0.2">
      <c r="A26" s="77" t="s">
        <v>165</v>
      </c>
      <c r="B26" s="90">
        <v>53300</v>
      </c>
      <c r="C26" s="90">
        <v>-30000</v>
      </c>
      <c r="D26" s="558">
        <v>-12700</v>
      </c>
      <c r="E26" s="558">
        <v>10600</v>
      </c>
      <c r="F26" s="558">
        <v>36000</v>
      </c>
      <c r="G26" s="558">
        <f t="shared" si="7"/>
        <v>-17300</v>
      </c>
      <c r="H26" s="814">
        <f t="shared" si="8"/>
        <v>-0.32457786116322701</v>
      </c>
      <c r="I26" s="558">
        <f t="shared" si="9"/>
        <v>25400</v>
      </c>
      <c r="J26" s="814">
        <f t="shared" si="10"/>
        <v>2.3962264150943398</v>
      </c>
    </row>
    <row r="27" spans="1:10" x14ac:dyDescent="0.2">
      <c r="A27" s="79" t="s">
        <v>283</v>
      </c>
      <c r="B27" s="89">
        <v>105820</v>
      </c>
      <c r="C27" s="89"/>
      <c r="D27" s="553">
        <v>-16800</v>
      </c>
      <c r="E27" s="553">
        <v>89020</v>
      </c>
      <c r="F27" s="553">
        <v>102620</v>
      </c>
      <c r="G27" s="553">
        <f t="shared" si="7"/>
        <v>-3200</v>
      </c>
      <c r="H27" s="819">
        <f t="shared" si="8"/>
        <v>-3.024003024003024E-2</v>
      </c>
      <c r="I27" s="553">
        <f t="shared" si="9"/>
        <v>13600</v>
      </c>
      <c r="J27" s="819">
        <f t="shared" si="10"/>
        <v>0.15277465738036397</v>
      </c>
    </row>
    <row r="28" spans="1:10" x14ac:dyDescent="0.2">
      <c r="A28" s="83" t="s">
        <v>142</v>
      </c>
      <c r="B28" s="92">
        <f>B29</f>
        <v>5000</v>
      </c>
      <c r="C28" s="92">
        <f>C29</f>
        <v>0</v>
      </c>
      <c r="D28" s="549">
        <f>D29</f>
        <v>-1000</v>
      </c>
      <c r="E28" s="549">
        <f t="shared" si="5"/>
        <v>4000</v>
      </c>
      <c r="F28" s="549">
        <f>F29</f>
        <v>3500</v>
      </c>
      <c r="G28" s="549">
        <f t="shared" si="7"/>
        <v>-1500</v>
      </c>
      <c r="H28" s="815">
        <f t="shared" si="8"/>
        <v>-0.3</v>
      </c>
      <c r="I28" s="549">
        <f t="shared" si="9"/>
        <v>-500</v>
      </c>
      <c r="J28" s="815">
        <f t="shared" si="10"/>
        <v>-0.125</v>
      </c>
    </row>
    <row r="29" spans="1:10" x14ac:dyDescent="0.2">
      <c r="A29" s="77" t="s">
        <v>540</v>
      </c>
      <c r="B29" s="90">
        <v>5000</v>
      </c>
      <c r="C29" s="90"/>
      <c r="D29" s="558">
        <v>-1000</v>
      </c>
      <c r="E29" s="558">
        <f t="shared" si="5"/>
        <v>4000</v>
      </c>
      <c r="F29" s="558">
        <v>3500</v>
      </c>
      <c r="G29" s="558">
        <f t="shared" si="7"/>
        <v>-1500</v>
      </c>
      <c r="H29" s="814">
        <f t="shared" si="8"/>
        <v>-0.3</v>
      </c>
      <c r="I29" s="558">
        <f t="shared" si="9"/>
        <v>-500</v>
      </c>
      <c r="J29" s="814">
        <f t="shared" si="10"/>
        <v>-0.125</v>
      </c>
    </row>
    <row r="30" spans="1:10" x14ac:dyDescent="0.2">
      <c r="A30" s="76" t="s">
        <v>124</v>
      </c>
      <c r="B30" s="88">
        <f>B31</f>
        <v>20000</v>
      </c>
      <c r="C30" s="88">
        <f>C31</f>
        <v>0</v>
      </c>
      <c r="D30" s="549">
        <f>D31</f>
        <v>5000</v>
      </c>
      <c r="E30" s="549">
        <f t="shared" si="5"/>
        <v>25000</v>
      </c>
      <c r="F30" s="549">
        <f>F31</f>
        <v>20000</v>
      </c>
      <c r="G30" s="549">
        <f t="shared" si="7"/>
        <v>0</v>
      </c>
      <c r="H30" s="815">
        <f t="shared" si="8"/>
        <v>0</v>
      </c>
      <c r="I30" s="549">
        <f t="shared" si="9"/>
        <v>-5000</v>
      </c>
      <c r="J30" s="815">
        <f t="shared" si="10"/>
        <v>-0.2</v>
      </c>
    </row>
    <row r="31" spans="1:10" x14ac:dyDescent="0.2">
      <c r="A31" s="77" t="s">
        <v>163</v>
      </c>
      <c r="B31" s="90">
        <v>20000</v>
      </c>
      <c r="C31" s="90"/>
      <c r="D31" s="558">
        <v>5000</v>
      </c>
      <c r="E31" s="558">
        <f t="shared" si="5"/>
        <v>25000</v>
      </c>
      <c r="F31" s="558">
        <v>20000</v>
      </c>
      <c r="G31" s="558">
        <f t="shared" si="7"/>
        <v>0</v>
      </c>
      <c r="H31" s="814">
        <f t="shared" si="8"/>
        <v>0</v>
      </c>
      <c r="I31" s="558">
        <f t="shared" si="9"/>
        <v>-5000</v>
      </c>
      <c r="J31" s="814">
        <f t="shared" si="10"/>
        <v>-0.2</v>
      </c>
    </row>
    <row r="32" spans="1:10" x14ac:dyDescent="0.2">
      <c r="A32" s="77"/>
      <c r="B32" s="90"/>
      <c r="C32" s="90"/>
      <c r="D32" s="90"/>
      <c r="E32" s="90">
        <f t="shared" si="5"/>
        <v>0</v>
      </c>
      <c r="F32" s="90"/>
      <c r="G32" s="90">
        <f t="shared" si="7"/>
        <v>0</v>
      </c>
      <c r="H32" s="527"/>
      <c r="I32" s="90">
        <f t="shared" si="9"/>
        <v>0</v>
      </c>
      <c r="J32" s="527"/>
    </row>
    <row r="33" spans="1:10" x14ac:dyDescent="0.2">
      <c r="A33" s="81" t="s">
        <v>808</v>
      </c>
      <c r="B33" s="91">
        <f>B34+B37</f>
        <v>1099400</v>
      </c>
      <c r="C33" s="91">
        <f>C34+C37</f>
        <v>-43400</v>
      </c>
      <c r="D33" s="560">
        <f>D34+D37+D39</f>
        <v>39650</v>
      </c>
      <c r="E33" s="560">
        <f t="shared" si="5"/>
        <v>1095650</v>
      </c>
      <c r="F33" s="560">
        <f>F34+F37</f>
        <v>1153700</v>
      </c>
      <c r="G33" s="560">
        <f t="shared" si="7"/>
        <v>54300</v>
      </c>
      <c r="H33" s="820">
        <f t="shared" si="8"/>
        <v>4.9390576678188101E-2</v>
      </c>
      <c r="I33" s="560">
        <f t="shared" si="9"/>
        <v>58050</v>
      </c>
      <c r="J33" s="820">
        <f t="shared" si="10"/>
        <v>5.2982247980650758E-2</v>
      </c>
    </row>
    <row r="34" spans="1:10" x14ac:dyDescent="0.2">
      <c r="A34" s="76" t="s">
        <v>124</v>
      </c>
      <c r="B34" s="88">
        <f>B35+B36</f>
        <v>788100</v>
      </c>
      <c r="C34" s="88">
        <f>C35+C36</f>
        <v>-47000</v>
      </c>
      <c r="D34" s="549">
        <f>D35+D36</f>
        <v>33000</v>
      </c>
      <c r="E34" s="549">
        <f t="shared" si="5"/>
        <v>774100</v>
      </c>
      <c r="F34" s="549">
        <f>F35+F36</f>
        <v>837100</v>
      </c>
      <c r="G34" s="549">
        <f t="shared" si="7"/>
        <v>49000</v>
      </c>
      <c r="H34" s="815">
        <f t="shared" si="8"/>
        <v>6.2174850907245276E-2</v>
      </c>
      <c r="I34" s="549">
        <f t="shared" si="9"/>
        <v>63000</v>
      </c>
      <c r="J34" s="815">
        <f t="shared" si="10"/>
        <v>8.1384834000775091E-2</v>
      </c>
    </row>
    <row r="35" spans="1:10" x14ac:dyDescent="0.2">
      <c r="A35" s="77" t="s">
        <v>162</v>
      </c>
      <c r="B35" s="90">
        <v>694400</v>
      </c>
      <c r="C35" s="90">
        <v>-55000</v>
      </c>
      <c r="D35" s="558">
        <v>0</v>
      </c>
      <c r="E35" s="558">
        <v>639400</v>
      </c>
      <c r="F35" s="558">
        <v>719900</v>
      </c>
      <c r="G35" s="558">
        <f t="shared" si="7"/>
        <v>25500</v>
      </c>
      <c r="H35" s="814">
        <f t="shared" si="8"/>
        <v>3.6722350230414744E-2</v>
      </c>
      <c r="I35" s="558">
        <f t="shared" si="9"/>
        <v>80500</v>
      </c>
      <c r="J35" s="814">
        <f t="shared" si="10"/>
        <v>0.12589928057553956</v>
      </c>
    </row>
    <row r="36" spans="1:10" x14ac:dyDescent="0.2">
      <c r="A36" s="77" t="s">
        <v>163</v>
      </c>
      <c r="B36" s="90">
        <v>93700</v>
      </c>
      <c r="C36" s="90">
        <v>8000</v>
      </c>
      <c r="D36" s="558">
        <v>33000</v>
      </c>
      <c r="E36" s="558">
        <v>134700</v>
      </c>
      <c r="F36" s="558">
        <v>117200</v>
      </c>
      <c r="G36" s="558">
        <f t="shared" si="7"/>
        <v>23500</v>
      </c>
      <c r="H36" s="814">
        <f t="shared" si="8"/>
        <v>0.25080042689434368</v>
      </c>
      <c r="I36" s="558">
        <f t="shared" si="9"/>
        <v>-17500</v>
      </c>
      <c r="J36" s="814">
        <f t="shared" si="10"/>
        <v>-0.12991833704528583</v>
      </c>
    </row>
    <row r="37" spans="1:10" x14ac:dyDescent="0.2">
      <c r="A37" s="81" t="s">
        <v>131</v>
      </c>
      <c r="B37" s="91">
        <f>B38</f>
        <v>311300</v>
      </c>
      <c r="C37" s="91">
        <f>C38</f>
        <v>3600</v>
      </c>
      <c r="D37" s="560">
        <f>D38</f>
        <v>6000</v>
      </c>
      <c r="E37" s="560">
        <f t="shared" si="5"/>
        <v>320900</v>
      </c>
      <c r="F37" s="560">
        <f>F38</f>
        <v>316600</v>
      </c>
      <c r="G37" s="560">
        <f t="shared" si="7"/>
        <v>5300</v>
      </c>
      <c r="H37" s="820">
        <f t="shared" si="8"/>
        <v>1.7025377449405719E-2</v>
      </c>
      <c r="I37" s="560">
        <f t="shared" si="9"/>
        <v>-4300</v>
      </c>
      <c r="J37" s="820">
        <f t="shared" si="10"/>
        <v>-1.3399813025864755E-2</v>
      </c>
    </row>
    <row r="38" spans="1:10" ht="25.5" x14ac:dyDescent="0.2">
      <c r="A38" s="79" t="s">
        <v>187</v>
      </c>
      <c r="B38" s="89">
        <v>311300</v>
      </c>
      <c r="C38" s="89">
        <v>3600</v>
      </c>
      <c r="D38" s="553">
        <v>6000</v>
      </c>
      <c r="E38" s="553">
        <v>320900</v>
      </c>
      <c r="F38" s="553">
        <v>316600</v>
      </c>
      <c r="G38" s="553">
        <f t="shared" si="7"/>
        <v>5300</v>
      </c>
      <c r="H38" s="819">
        <f t="shared" si="8"/>
        <v>1.7025377449405719E-2</v>
      </c>
      <c r="I38" s="553">
        <f t="shared" si="9"/>
        <v>-4300</v>
      </c>
      <c r="J38" s="819">
        <f t="shared" si="10"/>
        <v>-1.3399813025864755E-2</v>
      </c>
    </row>
    <row r="39" spans="1:10" x14ac:dyDescent="0.2">
      <c r="A39" s="552" t="s">
        <v>125</v>
      </c>
      <c r="B39" s="602"/>
      <c r="C39" s="602"/>
      <c r="D39" s="549">
        <f>D40</f>
        <v>650</v>
      </c>
      <c r="E39" s="604">
        <f t="shared" si="5"/>
        <v>650</v>
      </c>
      <c r="F39" s="602"/>
      <c r="G39" s="602">
        <f t="shared" si="7"/>
        <v>0</v>
      </c>
      <c r="H39" s="821"/>
      <c r="I39" s="553">
        <f t="shared" si="9"/>
        <v>-650</v>
      </c>
      <c r="J39" s="819">
        <f t="shared" si="10"/>
        <v>-1</v>
      </c>
    </row>
    <row r="40" spans="1:10" x14ac:dyDescent="0.2">
      <c r="A40" s="516" t="s">
        <v>164</v>
      </c>
      <c r="B40" s="602"/>
      <c r="C40" s="602"/>
      <c r="D40" s="558">
        <v>650</v>
      </c>
      <c r="E40" s="557">
        <f t="shared" si="5"/>
        <v>650</v>
      </c>
      <c r="F40" s="602"/>
      <c r="G40" s="602">
        <f t="shared" si="7"/>
        <v>0</v>
      </c>
      <c r="H40" s="821"/>
      <c r="I40" s="553">
        <f t="shared" si="9"/>
        <v>-650</v>
      </c>
      <c r="J40" s="819">
        <f t="shared" si="10"/>
        <v>-1</v>
      </c>
    </row>
    <row r="41" spans="1:10" x14ac:dyDescent="0.2">
      <c r="A41" s="79"/>
      <c r="B41" s="89"/>
      <c r="C41" s="89"/>
      <c r="D41" s="89"/>
      <c r="E41" s="89">
        <f t="shared" si="5"/>
        <v>0</v>
      </c>
      <c r="F41" s="89"/>
      <c r="G41" s="89">
        <f t="shared" si="7"/>
        <v>0</v>
      </c>
      <c r="H41" s="530"/>
      <c r="I41" s="89">
        <f t="shared" si="9"/>
        <v>0</v>
      </c>
      <c r="J41" s="530"/>
    </row>
    <row r="42" spans="1:10" x14ac:dyDescent="0.2">
      <c r="A42" s="76" t="s">
        <v>809</v>
      </c>
      <c r="B42" s="88">
        <f>B43</f>
        <v>4333939</v>
      </c>
      <c r="C42" s="88">
        <f>C43</f>
        <v>-42720</v>
      </c>
      <c r="D42" s="549">
        <f>D43</f>
        <v>0</v>
      </c>
      <c r="E42" s="549">
        <f t="shared" si="5"/>
        <v>4291219</v>
      </c>
      <c r="F42" s="549">
        <f>F43</f>
        <v>4346341</v>
      </c>
      <c r="G42" s="549">
        <f t="shared" si="7"/>
        <v>12402</v>
      </c>
      <c r="H42" s="815">
        <f t="shared" si="8"/>
        <v>2.861600036364148E-3</v>
      </c>
      <c r="I42" s="549">
        <f t="shared" si="9"/>
        <v>55122</v>
      </c>
      <c r="J42" s="815">
        <f t="shared" si="10"/>
        <v>1.2845301067132673E-2</v>
      </c>
    </row>
    <row r="43" spans="1:10" x14ac:dyDescent="0.2">
      <c r="A43" s="76" t="s">
        <v>137</v>
      </c>
      <c r="B43" s="88">
        <f>B44+B45</f>
        <v>4333939</v>
      </c>
      <c r="C43" s="88">
        <f>C44+C45</f>
        <v>-42720</v>
      </c>
      <c r="D43" s="549">
        <f>D44+D45</f>
        <v>0</v>
      </c>
      <c r="E43" s="549">
        <f t="shared" si="5"/>
        <v>4291219</v>
      </c>
      <c r="F43" s="549">
        <f>F44+F45</f>
        <v>4346341</v>
      </c>
      <c r="G43" s="549">
        <f t="shared" si="7"/>
        <v>12402</v>
      </c>
      <c r="H43" s="815">
        <f t="shared" si="8"/>
        <v>2.861600036364148E-3</v>
      </c>
      <c r="I43" s="549">
        <f t="shared" si="9"/>
        <v>55122</v>
      </c>
      <c r="J43" s="815">
        <f t="shared" si="10"/>
        <v>1.2845301067132673E-2</v>
      </c>
    </row>
    <row r="44" spans="1:10" x14ac:dyDescent="0.2">
      <c r="A44" s="77" t="s">
        <v>369</v>
      </c>
      <c r="B44" s="90">
        <v>3100000</v>
      </c>
      <c r="C44" s="90">
        <v>240000</v>
      </c>
      <c r="D44" s="558">
        <v>90000</v>
      </c>
      <c r="E44" s="558">
        <f t="shared" si="5"/>
        <v>3430000</v>
      </c>
      <c r="F44" s="558">
        <v>3300000</v>
      </c>
      <c r="G44" s="558">
        <f t="shared" si="7"/>
        <v>200000</v>
      </c>
      <c r="H44" s="814">
        <f t="shared" si="8"/>
        <v>6.4516129032258063E-2</v>
      </c>
      <c r="I44" s="558">
        <f t="shared" si="9"/>
        <v>-130000</v>
      </c>
      <c r="J44" s="814">
        <f t="shared" si="10"/>
        <v>-3.7900874635568516E-2</v>
      </c>
    </row>
    <row r="45" spans="1:10" x14ac:dyDescent="0.2">
      <c r="A45" s="77" t="s">
        <v>363</v>
      </c>
      <c r="B45" s="90">
        <v>1233939</v>
      </c>
      <c r="C45" s="90">
        <v>-282720</v>
      </c>
      <c r="D45" s="558">
        <v>-90000</v>
      </c>
      <c r="E45" s="558">
        <f t="shared" si="5"/>
        <v>861219</v>
      </c>
      <c r="F45" s="558">
        <v>1046341</v>
      </c>
      <c r="G45" s="558">
        <f t="shared" si="7"/>
        <v>-187598</v>
      </c>
      <c r="H45" s="814">
        <f t="shared" si="8"/>
        <v>-0.15203182653275404</v>
      </c>
      <c r="I45" s="558">
        <f t="shared" si="9"/>
        <v>185122</v>
      </c>
      <c r="J45" s="814">
        <f t="shared" si="10"/>
        <v>0.21495345550899364</v>
      </c>
    </row>
    <row r="46" spans="1:10" x14ac:dyDescent="0.2">
      <c r="A46" s="77"/>
      <c r="B46" s="90"/>
      <c r="C46" s="90"/>
      <c r="D46" s="90"/>
      <c r="E46" s="90">
        <f t="shared" si="5"/>
        <v>0</v>
      </c>
      <c r="F46" s="90"/>
      <c r="G46" s="90">
        <f t="shared" si="7"/>
        <v>0</v>
      </c>
      <c r="H46" s="527"/>
      <c r="I46" s="90">
        <f t="shared" si="9"/>
        <v>0</v>
      </c>
      <c r="J46" s="527"/>
    </row>
    <row r="47" spans="1:10" x14ac:dyDescent="0.2">
      <c r="A47" s="78" t="s">
        <v>166</v>
      </c>
      <c r="B47" s="87">
        <f t="shared" ref="B47" si="15">B48+B51</f>
        <v>287801</v>
      </c>
      <c r="C47" s="87">
        <f>C48+C51</f>
        <v>-89593</v>
      </c>
      <c r="D47" s="87"/>
      <c r="E47" s="87">
        <f t="shared" si="5"/>
        <v>198208</v>
      </c>
      <c r="F47" s="548">
        <f>F48+F51</f>
        <v>265541</v>
      </c>
      <c r="G47" s="548">
        <f t="shared" si="7"/>
        <v>-22260</v>
      </c>
      <c r="H47" s="818">
        <f t="shared" si="8"/>
        <v>-7.7345109989193916E-2</v>
      </c>
      <c r="I47" s="548">
        <f t="shared" si="9"/>
        <v>67333</v>
      </c>
      <c r="J47" s="818">
        <f t="shared" si="10"/>
        <v>0.33970879076525667</v>
      </c>
    </row>
    <row r="48" spans="1:10" x14ac:dyDescent="0.2">
      <c r="A48" s="76" t="s">
        <v>126</v>
      </c>
      <c r="B48" s="88">
        <f t="shared" ref="B48" si="16">B49+B50</f>
        <v>278875</v>
      </c>
      <c r="C48" s="88">
        <f>C49+C50</f>
        <v>-80667</v>
      </c>
      <c r="D48" s="88"/>
      <c r="E48" s="88">
        <f t="shared" si="5"/>
        <v>198208</v>
      </c>
      <c r="F48" s="549">
        <f>F49+F50</f>
        <v>265541</v>
      </c>
      <c r="G48" s="549">
        <f t="shared" si="7"/>
        <v>-13334</v>
      </c>
      <c r="H48" s="815">
        <f t="shared" si="8"/>
        <v>-4.7813536530703721E-2</v>
      </c>
      <c r="I48" s="549">
        <f t="shared" si="9"/>
        <v>67333</v>
      </c>
      <c r="J48" s="815">
        <f t="shared" si="10"/>
        <v>0.33970879076525667</v>
      </c>
    </row>
    <row r="49" spans="1:10" x14ac:dyDescent="0.2">
      <c r="A49" s="77" t="s">
        <v>165</v>
      </c>
      <c r="B49" s="90">
        <v>265541</v>
      </c>
      <c r="C49" s="90">
        <v>-74000</v>
      </c>
      <c r="D49" s="90"/>
      <c r="E49" s="90">
        <f t="shared" si="5"/>
        <v>191541</v>
      </c>
      <c r="F49" s="558">
        <v>255541</v>
      </c>
      <c r="G49" s="558">
        <f t="shared" si="7"/>
        <v>-10000</v>
      </c>
      <c r="H49" s="814">
        <f t="shared" si="8"/>
        <v>-3.765896791832523E-2</v>
      </c>
      <c r="I49" s="558">
        <f t="shared" si="9"/>
        <v>64000</v>
      </c>
      <c r="J49" s="814">
        <f t="shared" si="10"/>
        <v>0.33413211792775438</v>
      </c>
    </row>
    <row r="50" spans="1:10" x14ac:dyDescent="0.2">
      <c r="A50" s="77" t="s">
        <v>285</v>
      </c>
      <c r="B50" s="90">
        <v>13334</v>
      </c>
      <c r="C50" s="90">
        <v>-6667</v>
      </c>
      <c r="D50" s="90"/>
      <c r="E50" s="90">
        <f t="shared" si="5"/>
        <v>6667</v>
      </c>
      <c r="F50" s="558">
        <v>10000</v>
      </c>
      <c r="G50" s="558">
        <f t="shared" si="7"/>
        <v>-3334</v>
      </c>
      <c r="H50" s="814">
        <f t="shared" si="8"/>
        <v>-0.25003749812509374</v>
      </c>
      <c r="I50" s="558">
        <f t="shared" si="9"/>
        <v>3333</v>
      </c>
      <c r="J50" s="814">
        <f t="shared" si="10"/>
        <v>0.49992500374981252</v>
      </c>
    </row>
    <row r="51" spans="1:10" s="69" customFormat="1" x14ac:dyDescent="0.2">
      <c r="A51" s="76" t="s">
        <v>124</v>
      </c>
      <c r="B51" s="88">
        <f t="shared" ref="B51" si="17">B52+B53</f>
        <v>8926</v>
      </c>
      <c r="C51" s="88">
        <f>C52+C53</f>
        <v>-8926</v>
      </c>
      <c r="D51" s="88"/>
      <c r="E51" s="88">
        <f t="shared" ref="E51:E100" si="18">B51+C51+D51</f>
        <v>0</v>
      </c>
      <c r="F51" s="549">
        <f>F52+F53</f>
        <v>0</v>
      </c>
      <c r="G51" s="549">
        <f t="shared" si="7"/>
        <v>-8926</v>
      </c>
      <c r="H51" s="815">
        <f t="shared" si="8"/>
        <v>-1</v>
      </c>
      <c r="I51" s="549">
        <f t="shared" si="9"/>
        <v>0</v>
      </c>
      <c r="J51" s="815"/>
    </row>
    <row r="52" spans="1:10" x14ac:dyDescent="0.2">
      <c r="A52" s="77" t="s">
        <v>162</v>
      </c>
      <c r="B52" s="90">
        <v>7356</v>
      </c>
      <c r="C52" s="90">
        <v>-7356</v>
      </c>
      <c r="D52" s="90"/>
      <c r="E52" s="90">
        <f t="shared" si="18"/>
        <v>0</v>
      </c>
      <c r="F52" s="90"/>
      <c r="G52" s="90">
        <f t="shared" si="7"/>
        <v>-7356</v>
      </c>
      <c r="H52" s="527">
        <f t="shared" si="8"/>
        <v>-1</v>
      </c>
      <c r="I52" s="90">
        <f t="shared" si="9"/>
        <v>0</v>
      </c>
      <c r="J52" s="527"/>
    </row>
    <row r="53" spans="1:10" x14ac:dyDescent="0.2">
      <c r="A53" s="77" t="s">
        <v>163</v>
      </c>
      <c r="B53" s="90">
        <v>1570</v>
      </c>
      <c r="C53" s="90">
        <v>-1570</v>
      </c>
      <c r="D53" s="90"/>
      <c r="E53" s="90">
        <f t="shared" si="18"/>
        <v>0</v>
      </c>
      <c r="F53" s="90"/>
      <c r="G53" s="90">
        <f t="shared" si="7"/>
        <v>-1570</v>
      </c>
      <c r="H53" s="527">
        <f t="shared" si="8"/>
        <v>-1</v>
      </c>
      <c r="I53" s="90">
        <f t="shared" si="9"/>
        <v>0</v>
      </c>
      <c r="J53" s="527"/>
    </row>
    <row r="54" spans="1:10" x14ac:dyDescent="0.2">
      <c r="A54" s="77"/>
      <c r="B54" s="90"/>
      <c r="C54" s="90"/>
      <c r="D54" s="90"/>
      <c r="E54" s="90">
        <f t="shared" si="18"/>
        <v>0</v>
      </c>
      <c r="F54" s="90"/>
      <c r="G54" s="90">
        <f t="shared" si="7"/>
        <v>0</v>
      </c>
      <c r="H54" s="527"/>
      <c r="I54" s="90">
        <f t="shared" si="9"/>
        <v>0</v>
      </c>
      <c r="J54" s="527"/>
    </row>
    <row r="55" spans="1:10" s="58" customFormat="1" x14ac:dyDescent="0.2">
      <c r="A55" s="547" t="s">
        <v>167</v>
      </c>
      <c r="B55" s="548">
        <f>B57+B68+B81+B98+B105+B118</f>
        <v>32895770</v>
      </c>
      <c r="C55" s="548">
        <f>C57+C68+C81+C98+C105+C118</f>
        <v>-7115750</v>
      </c>
      <c r="D55" s="548">
        <f>D57+D68+D81+D98+D105+D118</f>
        <v>-749900</v>
      </c>
      <c r="E55" s="548">
        <f t="shared" si="18"/>
        <v>25030120</v>
      </c>
      <c r="F55" s="548">
        <f>F57+F68+F81+F98+F105+F118</f>
        <v>28946290</v>
      </c>
      <c r="G55" s="548">
        <f t="shared" si="7"/>
        <v>-3949480</v>
      </c>
      <c r="H55" s="818">
        <f t="shared" si="8"/>
        <v>-0.12006042114229276</v>
      </c>
      <c r="I55" s="548">
        <f t="shared" si="9"/>
        <v>3916170</v>
      </c>
      <c r="J55" s="818">
        <f t="shared" si="10"/>
        <v>0.15645829904131503</v>
      </c>
    </row>
    <row r="56" spans="1:10" s="58" customFormat="1" x14ac:dyDescent="0.2">
      <c r="A56" s="550"/>
      <c r="B56" s="551"/>
      <c r="C56" s="551"/>
      <c r="D56" s="551"/>
      <c r="E56" s="551">
        <f t="shared" si="18"/>
        <v>0</v>
      </c>
      <c r="F56" s="551"/>
      <c r="G56" s="551">
        <f t="shared" si="7"/>
        <v>0</v>
      </c>
      <c r="H56" s="822"/>
      <c r="I56" s="551">
        <f t="shared" si="9"/>
        <v>0</v>
      </c>
      <c r="J56" s="822"/>
    </row>
    <row r="57" spans="1:10" s="58" customFormat="1" x14ac:dyDescent="0.2">
      <c r="A57" s="552" t="s">
        <v>290</v>
      </c>
      <c r="B57" s="549">
        <f>B58+B64+B61</f>
        <v>5900010</v>
      </c>
      <c r="C57" s="549">
        <f>C58+C64+C61</f>
        <v>171870</v>
      </c>
      <c r="D57" s="549">
        <f>D58+D64+D61</f>
        <v>101150</v>
      </c>
      <c r="E57" s="549">
        <f t="shared" si="18"/>
        <v>6173030</v>
      </c>
      <c r="F57" s="549">
        <f>F58+F64+F61</f>
        <v>6231320</v>
      </c>
      <c r="G57" s="549">
        <f t="shared" si="7"/>
        <v>331310</v>
      </c>
      <c r="H57" s="815">
        <f t="shared" si="8"/>
        <v>5.6154142111623541E-2</v>
      </c>
      <c r="I57" s="549">
        <f t="shared" si="9"/>
        <v>58290</v>
      </c>
      <c r="J57" s="815">
        <f t="shared" si="10"/>
        <v>9.4426885986298465E-3</v>
      </c>
    </row>
    <row r="58" spans="1:10" s="58" customFormat="1" x14ac:dyDescent="0.2">
      <c r="A58" s="552" t="s">
        <v>127</v>
      </c>
      <c r="B58" s="549">
        <f>B59+B60</f>
        <v>5593000</v>
      </c>
      <c r="C58" s="549">
        <f>C59+C60</f>
        <v>196000</v>
      </c>
      <c r="D58" s="549">
        <f>D59+D60</f>
        <v>108000</v>
      </c>
      <c r="E58" s="549">
        <f t="shared" si="18"/>
        <v>5897000</v>
      </c>
      <c r="F58" s="549">
        <f>F59+F60</f>
        <v>6058800</v>
      </c>
      <c r="G58" s="549">
        <f t="shared" si="7"/>
        <v>465800</v>
      </c>
      <c r="H58" s="815">
        <f t="shared" si="8"/>
        <v>8.3282674772036477E-2</v>
      </c>
      <c r="I58" s="549">
        <f t="shared" si="9"/>
        <v>161800</v>
      </c>
      <c r="J58" s="815">
        <f t="shared" si="10"/>
        <v>2.7437680176360862E-2</v>
      </c>
    </row>
    <row r="59" spans="1:10" s="58" customFormat="1" ht="51" x14ac:dyDescent="0.2">
      <c r="A59" s="517" t="s">
        <v>291</v>
      </c>
      <c r="B59" s="553">
        <v>5048000</v>
      </c>
      <c r="C59" s="553">
        <v>186000</v>
      </c>
      <c r="D59" s="553">
        <v>100000</v>
      </c>
      <c r="E59" s="553">
        <v>5334000</v>
      </c>
      <c r="F59" s="553">
        <v>5497000</v>
      </c>
      <c r="G59" s="553">
        <f t="shared" si="7"/>
        <v>449000</v>
      </c>
      <c r="H59" s="819">
        <f t="shared" si="8"/>
        <v>8.8946117274167985E-2</v>
      </c>
      <c r="I59" s="553">
        <f t="shared" si="9"/>
        <v>163000</v>
      </c>
      <c r="J59" s="819">
        <f t="shared" si="10"/>
        <v>3.0558680164979379E-2</v>
      </c>
    </row>
    <row r="60" spans="1:10" s="58" customFormat="1" ht="38.25" x14ac:dyDescent="0.2">
      <c r="A60" s="517" t="s">
        <v>292</v>
      </c>
      <c r="B60" s="553">
        <v>545000</v>
      </c>
      <c r="C60" s="553">
        <v>10000</v>
      </c>
      <c r="D60" s="553">
        <v>8000</v>
      </c>
      <c r="E60" s="553">
        <f t="shared" si="18"/>
        <v>563000</v>
      </c>
      <c r="F60" s="553">
        <v>561800</v>
      </c>
      <c r="G60" s="553">
        <f t="shared" si="7"/>
        <v>16800</v>
      </c>
      <c r="H60" s="819">
        <f t="shared" si="8"/>
        <v>3.0825688073394496E-2</v>
      </c>
      <c r="I60" s="553">
        <f t="shared" si="9"/>
        <v>-1200</v>
      </c>
      <c r="J60" s="819">
        <f t="shared" si="10"/>
        <v>-2.1314387211367673E-3</v>
      </c>
    </row>
    <row r="61" spans="1:10" s="58" customFormat="1" x14ac:dyDescent="0.2">
      <c r="A61" s="555" t="s">
        <v>129</v>
      </c>
      <c r="B61" s="553">
        <f>B62+B63</f>
        <v>165700</v>
      </c>
      <c r="C61" s="553">
        <f>C62+C63</f>
        <v>0</v>
      </c>
      <c r="D61" s="553">
        <f>D62+D63</f>
        <v>0</v>
      </c>
      <c r="E61" s="553">
        <f t="shared" si="18"/>
        <v>165700</v>
      </c>
      <c r="F61" s="553">
        <f>F62+F63</f>
        <v>31070</v>
      </c>
      <c r="G61" s="553">
        <f t="shared" si="7"/>
        <v>-134630</v>
      </c>
      <c r="H61" s="819">
        <f t="shared" si="8"/>
        <v>-0.81249245624622812</v>
      </c>
      <c r="I61" s="553">
        <f t="shared" si="9"/>
        <v>-134630</v>
      </c>
      <c r="J61" s="819">
        <f t="shared" si="10"/>
        <v>-0.81249245624622812</v>
      </c>
    </row>
    <row r="62" spans="1:10" s="58" customFormat="1" x14ac:dyDescent="0.2">
      <c r="A62" s="556" t="s">
        <v>172</v>
      </c>
      <c r="B62" s="557">
        <v>10000</v>
      </c>
      <c r="C62" s="557"/>
      <c r="D62" s="557"/>
      <c r="E62" s="557">
        <f t="shared" si="18"/>
        <v>10000</v>
      </c>
      <c r="F62" s="557">
        <v>10000</v>
      </c>
      <c r="G62" s="557">
        <f t="shared" si="7"/>
        <v>0</v>
      </c>
      <c r="H62" s="823">
        <f t="shared" si="8"/>
        <v>0</v>
      </c>
      <c r="I62" s="557">
        <f t="shared" si="9"/>
        <v>0</v>
      </c>
      <c r="J62" s="823">
        <f t="shared" si="10"/>
        <v>0</v>
      </c>
    </row>
    <row r="63" spans="1:10" s="58" customFormat="1" ht="38.25" x14ac:dyDescent="0.2">
      <c r="A63" s="556" t="s">
        <v>535</v>
      </c>
      <c r="B63" s="557">
        <v>155700</v>
      </c>
      <c r="C63" s="557"/>
      <c r="D63" s="557"/>
      <c r="E63" s="557">
        <f t="shared" si="18"/>
        <v>155700</v>
      </c>
      <c r="F63" s="557">
        <f>36200-15130</f>
        <v>21070</v>
      </c>
      <c r="G63" s="557">
        <f t="shared" si="7"/>
        <v>-134630</v>
      </c>
      <c r="H63" s="823">
        <f t="shared" si="8"/>
        <v>-0.86467565831727677</v>
      </c>
      <c r="I63" s="557">
        <f t="shared" si="9"/>
        <v>-134630</v>
      </c>
      <c r="J63" s="823">
        <f t="shared" si="10"/>
        <v>-0.86467565831727677</v>
      </c>
    </row>
    <row r="64" spans="1:10" s="58" customFormat="1" x14ac:dyDescent="0.2">
      <c r="A64" s="552" t="s">
        <v>124</v>
      </c>
      <c r="B64" s="549">
        <f t="shared" ref="B64:D64" si="19">B65+B66</f>
        <v>141310</v>
      </c>
      <c r="C64" s="549">
        <f t="shared" si="19"/>
        <v>-24130</v>
      </c>
      <c r="D64" s="549">
        <f t="shared" si="19"/>
        <v>-6850</v>
      </c>
      <c r="E64" s="549">
        <f t="shared" si="18"/>
        <v>110330</v>
      </c>
      <c r="F64" s="549">
        <f t="shared" ref="F64" si="20">F65+F66</f>
        <v>141450</v>
      </c>
      <c r="G64" s="549">
        <f t="shared" si="7"/>
        <v>140</v>
      </c>
      <c r="H64" s="815">
        <f t="shared" si="8"/>
        <v>9.907296015851674E-4</v>
      </c>
      <c r="I64" s="549">
        <f t="shared" si="9"/>
        <v>31120</v>
      </c>
      <c r="J64" s="815">
        <f t="shared" si="10"/>
        <v>0.28206290220248348</v>
      </c>
    </row>
    <row r="65" spans="1:10" s="58" customFormat="1" x14ac:dyDescent="0.2">
      <c r="A65" s="516" t="s">
        <v>162</v>
      </c>
      <c r="B65" s="558">
        <v>94310</v>
      </c>
      <c r="C65" s="558">
        <f>-1860-22270</f>
        <v>-24130</v>
      </c>
      <c r="D65" s="558">
        <v>-9850</v>
      </c>
      <c r="E65" s="558">
        <f t="shared" si="18"/>
        <v>60330</v>
      </c>
      <c r="F65" s="558">
        <v>94450</v>
      </c>
      <c r="G65" s="558">
        <f t="shared" si="7"/>
        <v>140</v>
      </c>
      <c r="H65" s="814">
        <f t="shared" si="8"/>
        <v>1.4844661223624219E-3</v>
      </c>
      <c r="I65" s="558">
        <f t="shared" si="9"/>
        <v>34120</v>
      </c>
      <c r="J65" s="814">
        <f t="shared" si="10"/>
        <v>0.56555610807226919</v>
      </c>
    </row>
    <row r="66" spans="1:10" s="58" customFormat="1" x14ac:dyDescent="0.2">
      <c r="A66" s="516" t="s">
        <v>163</v>
      </c>
      <c r="B66" s="558">
        <v>47000</v>
      </c>
      <c r="C66" s="558"/>
      <c r="D66" s="558">
        <v>3000</v>
      </c>
      <c r="E66" s="558">
        <f t="shared" si="18"/>
        <v>50000</v>
      </c>
      <c r="F66" s="558">
        <v>47000</v>
      </c>
      <c r="G66" s="558">
        <f t="shared" si="7"/>
        <v>0</v>
      </c>
      <c r="H66" s="814">
        <f t="shared" si="8"/>
        <v>0</v>
      </c>
      <c r="I66" s="558">
        <f t="shared" si="9"/>
        <v>-3000</v>
      </c>
      <c r="J66" s="814">
        <f t="shared" si="10"/>
        <v>-0.06</v>
      </c>
    </row>
    <row r="67" spans="1:10" s="58" customFormat="1" x14ac:dyDescent="0.2">
      <c r="A67" s="516"/>
      <c r="B67" s="558"/>
      <c r="C67" s="558"/>
      <c r="D67" s="558"/>
      <c r="E67" s="558">
        <f t="shared" si="18"/>
        <v>0</v>
      </c>
      <c r="F67" s="558"/>
      <c r="G67" s="558">
        <f t="shared" si="7"/>
        <v>0</v>
      </c>
      <c r="H67" s="814"/>
      <c r="I67" s="558">
        <f t="shared" si="9"/>
        <v>0</v>
      </c>
      <c r="J67" s="814"/>
    </row>
    <row r="68" spans="1:10" s="58" customFormat="1" x14ac:dyDescent="0.2">
      <c r="A68" s="552" t="s">
        <v>293</v>
      </c>
      <c r="B68" s="549">
        <f>B69+B77</f>
        <v>17990560</v>
      </c>
      <c r="C68" s="549">
        <f>C69+C77</f>
        <v>-4526890</v>
      </c>
      <c r="D68" s="549">
        <f>D69+D77</f>
        <v>-938360</v>
      </c>
      <c r="E68" s="549">
        <f t="shared" si="18"/>
        <v>12525310</v>
      </c>
      <c r="F68" s="549">
        <f>F69+F77</f>
        <v>13715100</v>
      </c>
      <c r="G68" s="549">
        <f t="shared" si="7"/>
        <v>-4275460</v>
      </c>
      <c r="H68" s="815">
        <f t="shared" si="8"/>
        <v>-0.23765018987735789</v>
      </c>
      <c r="I68" s="549">
        <f t="shared" si="9"/>
        <v>1189790</v>
      </c>
      <c r="J68" s="815">
        <f t="shared" si="10"/>
        <v>9.4990862501606751E-2</v>
      </c>
    </row>
    <row r="69" spans="1:10" s="58" customFormat="1" x14ac:dyDescent="0.2">
      <c r="A69" s="552" t="s">
        <v>127</v>
      </c>
      <c r="B69" s="549">
        <f>B70+B71+B72+B73+B74+B75+B76</f>
        <v>17761850</v>
      </c>
      <c r="C69" s="549">
        <f>C70+C71+C72+C73+C74+C75+C76</f>
        <v>-4491330</v>
      </c>
      <c r="D69" s="549">
        <f>D70+D71+D72+D73+D74+D75+D76</f>
        <v>-1007050</v>
      </c>
      <c r="E69" s="549">
        <f t="shared" si="18"/>
        <v>12263470</v>
      </c>
      <c r="F69" s="549">
        <f>F70+F71+F72+F73+F74+F75+F76</f>
        <v>13513540</v>
      </c>
      <c r="G69" s="549">
        <f t="shared" si="7"/>
        <v>-4248310</v>
      </c>
      <c r="H69" s="815">
        <f t="shared" si="8"/>
        <v>-0.23918172938066698</v>
      </c>
      <c r="I69" s="549">
        <f t="shared" si="9"/>
        <v>1250070</v>
      </c>
      <c r="J69" s="815">
        <f t="shared" si="10"/>
        <v>0.10193444432937823</v>
      </c>
    </row>
    <row r="70" spans="1:10" s="58" customFormat="1" ht="25.5" x14ac:dyDescent="0.2">
      <c r="A70" s="517" t="s">
        <v>294</v>
      </c>
      <c r="B70" s="553">
        <v>344270</v>
      </c>
      <c r="C70" s="553"/>
      <c r="D70" s="553">
        <v>10640</v>
      </c>
      <c r="E70" s="553">
        <f t="shared" si="18"/>
        <v>354910</v>
      </c>
      <c r="F70" s="553">
        <v>359050</v>
      </c>
      <c r="G70" s="553">
        <f t="shared" ref="G70:G133" si="21">F70-B70</f>
        <v>14780</v>
      </c>
      <c r="H70" s="819">
        <f t="shared" ref="H70:H133" si="22">G70/B70</f>
        <v>4.2931420106311909E-2</v>
      </c>
      <c r="I70" s="553">
        <f t="shared" ref="I70:I133" si="23">F70-E70</f>
        <v>4140</v>
      </c>
      <c r="J70" s="819">
        <f t="shared" ref="J70:J133" si="24">I70/E70</f>
        <v>1.16649291369643E-2</v>
      </c>
    </row>
    <row r="71" spans="1:10" s="58" customFormat="1" ht="25.5" x14ac:dyDescent="0.2">
      <c r="A71" s="517" t="s">
        <v>295</v>
      </c>
      <c r="B71" s="553">
        <v>17044240</v>
      </c>
      <c r="C71" s="553">
        <v>-4371990</v>
      </c>
      <c r="D71" s="553">
        <v>-1000820</v>
      </c>
      <c r="E71" s="553">
        <v>11671430</v>
      </c>
      <c r="F71" s="553">
        <v>12795160</v>
      </c>
      <c r="G71" s="553">
        <f t="shared" si="21"/>
        <v>-4249080</v>
      </c>
      <c r="H71" s="819">
        <f t="shared" si="22"/>
        <v>-0.24929712325102205</v>
      </c>
      <c r="I71" s="553">
        <f t="shared" si="23"/>
        <v>1123730</v>
      </c>
      <c r="J71" s="819">
        <f t="shared" si="24"/>
        <v>9.6280404372043535E-2</v>
      </c>
    </row>
    <row r="72" spans="1:10" s="58" customFormat="1" x14ac:dyDescent="0.2">
      <c r="A72" s="516" t="s">
        <v>296</v>
      </c>
      <c r="B72" s="558">
        <v>69990</v>
      </c>
      <c r="C72" s="558">
        <f>70-10660</f>
        <v>-10590</v>
      </c>
      <c r="D72" s="558">
        <v>320</v>
      </c>
      <c r="E72" s="558">
        <f t="shared" si="18"/>
        <v>59720</v>
      </c>
      <c r="F72" s="558">
        <v>72100</v>
      </c>
      <c r="G72" s="558">
        <f t="shared" si="21"/>
        <v>2110</v>
      </c>
      <c r="H72" s="814">
        <f t="shared" si="22"/>
        <v>3.0147163880554363E-2</v>
      </c>
      <c r="I72" s="558">
        <f t="shared" si="23"/>
        <v>12380</v>
      </c>
      <c r="J72" s="814">
        <f t="shared" si="24"/>
        <v>0.2073007367716008</v>
      </c>
    </row>
    <row r="73" spans="1:10" s="58" customFormat="1" x14ac:dyDescent="0.2">
      <c r="A73" s="516" t="s">
        <v>297</v>
      </c>
      <c r="B73" s="558">
        <v>490</v>
      </c>
      <c r="C73" s="558">
        <v>770</v>
      </c>
      <c r="D73" s="558">
        <v>200</v>
      </c>
      <c r="E73" s="558">
        <f t="shared" si="18"/>
        <v>1460</v>
      </c>
      <c r="F73" s="558">
        <v>1290</v>
      </c>
      <c r="G73" s="558">
        <f t="shared" si="21"/>
        <v>800</v>
      </c>
      <c r="H73" s="814">
        <f t="shared" si="22"/>
        <v>1.6326530612244898</v>
      </c>
      <c r="I73" s="558">
        <f t="shared" si="23"/>
        <v>-170</v>
      </c>
      <c r="J73" s="814">
        <f t="shared" si="24"/>
        <v>-0.11643835616438356</v>
      </c>
    </row>
    <row r="74" spans="1:10" s="58" customFormat="1" x14ac:dyDescent="0.2">
      <c r="A74" s="516" t="s">
        <v>298</v>
      </c>
      <c r="B74" s="558">
        <v>199950</v>
      </c>
      <c r="C74" s="558">
        <f>-95380-15000</f>
        <v>-110380</v>
      </c>
      <c r="D74" s="558">
        <v>-9360</v>
      </c>
      <c r="E74" s="558">
        <f t="shared" si="18"/>
        <v>80210</v>
      </c>
      <c r="F74" s="558">
        <v>181900</v>
      </c>
      <c r="G74" s="558">
        <f t="shared" si="21"/>
        <v>-18050</v>
      </c>
      <c r="H74" s="814">
        <f t="shared" si="22"/>
        <v>-9.0272568142035506E-2</v>
      </c>
      <c r="I74" s="558">
        <f t="shared" si="23"/>
        <v>101690</v>
      </c>
      <c r="J74" s="814">
        <f t="shared" si="24"/>
        <v>1.267797032788929</v>
      </c>
    </row>
    <row r="75" spans="1:10" s="58" customFormat="1" x14ac:dyDescent="0.2">
      <c r="A75" s="516" t="s">
        <v>169</v>
      </c>
      <c r="B75" s="558">
        <v>1490</v>
      </c>
      <c r="C75" s="558">
        <v>-1020</v>
      </c>
      <c r="D75" s="558">
        <v>-60</v>
      </c>
      <c r="E75" s="558">
        <f t="shared" si="18"/>
        <v>410</v>
      </c>
      <c r="F75" s="558">
        <v>760</v>
      </c>
      <c r="G75" s="558">
        <f t="shared" si="21"/>
        <v>-730</v>
      </c>
      <c r="H75" s="814">
        <f t="shared" si="22"/>
        <v>-0.48993288590604028</v>
      </c>
      <c r="I75" s="558">
        <f t="shared" si="23"/>
        <v>350</v>
      </c>
      <c r="J75" s="814">
        <f t="shared" si="24"/>
        <v>0.85365853658536583</v>
      </c>
    </row>
    <row r="76" spans="1:10" s="58" customFormat="1" x14ac:dyDescent="0.2">
      <c r="A76" s="516" t="s">
        <v>284</v>
      </c>
      <c r="B76" s="558">
        <f>92720+4700+4000</f>
        <v>101420</v>
      </c>
      <c r="C76" s="558">
        <v>1880</v>
      </c>
      <c r="D76" s="558">
        <v>-7970</v>
      </c>
      <c r="E76" s="558">
        <f t="shared" si="18"/>
        <v>95330</v>
      </c>
      <c r="F76" s="558">
        <v>103280</v>
      </c>
      <c r="G76" s="558">
        <f t="shared" si="21"/>
        <v>1860</v>
      </c>
      <c r="H76" s="814">
        <f t="shared" si="22"/>
        <v>1.833957799250641E-2</v>
      </c>
      <c r="I76" s="558">
        <f t="shared" si="23"/>
        <v>7950</v>
      </c>
      <c r="J76" s="814">
        <f t="shared" si="24"/>
        <v>8.339452428406588E-2</v>
      </c>
    </row>
    <row r="77" spans="1:10" s="58" customFormat="1" x14ac:dyDescent="0.2">
      <c r="A77" s="552" t="s">
        <v>124</v>
      </c>
      <c r="B77" s="549">
        <f t="shared" ref="B77" si="25">B78+B79</f>
        <v>228710</v>
      </c>
      <c r="C77" s="549">
        <f>C78+C79</f>
        <v>-35560</v>
      </c>
      <c r="D77" s="549">
        <f>D78+D79</f>
        <v>68690</v>
      </c>
      <c r="E77" s="549">
        <f t="shared" si="18"/>
        <v>261840</v>
      </c>
      <c r="F77" s="549">
        <f t="shared" ref="F77" si="26">F78+F79</f>
        <v>201560</v>
      </c>
      <c r="G77" s="549">
        <f t="shared" si="21"/>
        <v>-27150</v>
      </c>
      <c r="H77" s="815">
        <f t="shared" si="22"/>
        <v>-0.1187092824974859</v>
      </c>
      <c r="I77" s="549">
        <f t="shared" si="23"/>
        <v>-60280</v>
      </c>
      <c r="J77" s="815">
        <f t="shared" si="24"/>
        <v>-0.23021692636724717</v>
      </c>
    </row>
    <row r="78" spans="1:10" s="58" customFormat="1" x14ac:dyDescent="0.2">
      <c r="A78" s="516" t="s">
        <v>162</v>
      </c>
      <c r="B78" s="558">
        <v>17660</v>
      </c>
      <c r="C78" s="558">
        <f>-3440-2050</f>
        <v>-5490</v>
      </c>
      <c r="D78" s="558">
        <v>-510</v>
      </c>
      <c r="E78" s="558">
        <f t="shared" si="18"/>
        <v>11660</v>
      </c>
      <c r="F78" s="558">
        <v>14220</v>
      </c>
      <c r="G78" s="558">
        <f t="shared" si="21"/>
        <v>-3440</v>
      </c>
      <c r="H78" s="814">
        <f t="shared" si="22"/>
        <v>-0.19479048697621745</v>
      </c>
      <c r="I78" s="558">
        <f t="shared" si="23"/>
        <v>2560</v>
      </c>
      <c r="J78" s="814">
        <f t="shared" si="24"/>
        <v>0.21955403087478559</v>
      </c>
    </row>
    <row r="79" spans="1:10" s="58" customFormat="1" x14ac:dyDescent="0.2">
      <c r="A79" s="516" t="s">
        <v>163</v>
      </c>
      <c r="B79" s="558">
        <f>112580+42450+42070+13950</f>
        <v>211050</v>
      </c>
      <c r="C79" s="558">
        <v>-30070</v>
      </c>
      <c r="D79" s="558">
        <v>69200</v>
      </c>
      <c r="E79" s="558">
        <f t="shared" si="18"/>
        <v>250180</v>
      </c>
      <c r="F79" s="558">
        <v>187340</v>
      </c>
      <c r="G79" s="558">
        <f t="shared" si="21"/>
        <v>-23710</v>
      </c>
      <c r="H79" s="814">
        <f t="shared" si="22"/>
        <v>-0.11234304667140488</v>
      </c>
      <c r="I79" s="558">
        <f t="shared" si="23"/>
        <v>-62840</v>
      </c>
      <c r="J79" s="814">
        <f t="shared" si="24"/>
        <v>-0.25117915101127186</v>
      </c>
    </row>
    <row r="80" spans="1:10" s="58" customFormat="1" x14ac:dyDescent="0.2">
      <c r="A80" s="516"/>
      <c r="B80" s="558"/>
      <c r="C80" s="558"/>
      <c r="D80" s="558"/>
      <c r="E80" s="558">
        <f t="shared" si="18"/>
        <v>0</v>
      </c>
      <c r="F80" s="558"/>
      <c r="G80" s="558">
        <f t="shared" si="21"/>
        <v>0</v>
      </c>
      <c r="H80" s="814"/>
      <c r="I80" s="558">
        <f t="shared" si="23"/>
        <v>0</v>
      </c>
      <c r="J80" s="814"/>
    </row>
    <row r="81" spans="1:10" s="58" customFormat="1" x14ac:dyDescent="0.2">
      <c r="A81" s="559" t="s">
        <v>299</v>
      </c>
      <c r="B81" s="560">
        <f>B82+B94</f>
        <v>5088890</v>
      </c>
      <c r="C81" s="560">
        <f>C82+C94</f>
        <v>-1684860</v>
      </c>
      <c r="D81" s="560">
        <f>D82+D94</f>
        <v>148830</v>
      </c>
      <c r="E81" s="560">
        <f t="shared" si="18"/>
        <v>3552860</v>
      </c>
      <c r="F81" s="560">
        <f>F82+F94</f>
        <v>5087940</v>
      </c>
      <c r="G81" s="560">
        <f t="shared" si="21"/>
        <v>-950</v>
      </c>
      <c r="H81" s="820">
        <f t="shared" si="22"/>
        <v>-1.8668118194734018E-4</v>
      </c>
      <c r="I81" s="560">
        <f t="shared" si="23"/>
        <v>1535080</v>
      </c>
      <c r="J81" s="820">
        <f t="shared" si="24"/>
        <v>0.43206881216822501</v>
      </c>
    </row>
    <row r="82" spans="1:10" s="58" customFormat="1" x14ac:dyDescent="0.2">
      <c r="A82" s="552" t="s">
        <v>127</v>
      </c>
      <c r="B82" s="549">
        <f>B83+B84+B85+B86+B87+B88+B89+B91++B90+B92+B93</f>
        <v>4542910</v>
      </c>
      <c r="C82" s="549">
        <f>C83+C84+C85+C86+C87+C88+C89+C91++C90+C92+C93</f>
        <v>-1673220</v>
      </c>
      <c r="D82" s="549">
        <f>D83+D84+D85+D86+D87+D88+D89+D91++D90+D92+D93</f>
        <v>142720</v>
      </c>
      <c r="E82" s="549">
        <f t="shared" si="18"/>
        <v>3012410</v>
      </c>
      <c r="F82" s="549">
        <f>F83+F84+F85+F86+F87+F88+F89+F91++F90+F92+F93</f>
        <v>4498510</v>
      </c>
      <c r="G82" s="549">
        <f t="shared" si="21"/>
        <v>-44400</v>
      </c>
      <c r="H82" s="815">
        <f t="shared" si="22"/>
        <v>-9.773471189171698E-3</v>
      </c>
      <c r="I82" s="549">
        <f t="shared" si="23"/>
        <v>1486100</v>
      </c>
      <c r="J82" s="815">
        <f t="shared" si="24"/>
        <v>0.49332594168788446</v>
      </c>
    </row>
    <row r="83" spans="1:10" s="58" customFormat="1" ht="25.5" x14ac:dyDescent="0.2">
      <c r="A83" s="517" t="s">
        <v>294</v>
      </c>
      <c r="B83" s="553">
        <v>7270</v>
      </c>
      <c r="C83" s="553"/>
      <c r="D83" s="553">
        <v>-70</v>
      </c>
      <c r="E83" s="553">
        <f t="shared" si="18"/>
        <v>7200</v>
      </c>
      <c r="F83" s="553">
        <v>14780</v>
      </c>
      <c r="G83" s="553">
        <f t="shared" si="21"/>
        <v>7510</v>
      </c>
      <c r="H83" s="819">
        <f t="shared" si="22"/>
        <v>1.0330123796423658</v>
      </c>
      <c r="I83" s="553">
        <f t="shared" si="23"/>
        <v>7580</v>
      </c>
      <c r="J83" s="819">
        <f t="shared" si="24"/>
        <v>1.0527777777777778</v>
      </c>
    </row>
    <row r="84" spans="1:10" s="58" customFormat="1" ht="25.5" x14ac:dyDescent="0.2">
      <c r="A84" s="517" t="s">
        <v>295</v>
      </c>
      <c r="B84" s="553">
        <v>145910</v>
      </c>
      <c r="C84" s="553">
        <v>-68730</v>
      </c>
      <c r="D84" s="553">
        <v>-10040</v>
      </c>
      <c r="E84" s="553">
        <v>67140</v>
      </c>
      <c r="F84" s="553">
        <v>70380</v>
      </c>
      <c r="G84" s="553">
        <f t="shared" si="21"/>
        <v>-75530</v>
      </c>
      <c r="H84" s="819">
        <f t="shared" si="22"/>
        <v>-0.51764786512233574</v>
      </c>
      <c r="I84" s="553">
        <f t="shared" si="23"/>
        <v>3240</v>
      </c>
      <c r="J84" s="819">
        <f t="shared" si="24"/>
        <v>4.8257372654155493E-2</v>
      </c>
    </row>
    <row r="85" spans="1:10" s="58" customFormat="1" x14ac:dyDescent="0.2">
      <c r="A85" s="517" t="s">
        <v>300</v>
      </c>
      <c r="B85" s="553">
        <v>31360</v>
      </c>
      <c r="C85" s="553"/>
      <c r="D85" s="553">
        <v>-10000</v>
      </c>
      <c r="E85" s="553">
        <v>21360</v>
      </c>
      <c r="F85" s="553">
        <v>29560</v>
      </c>
      <c r="G85" s="553">
        <f t="shared" si="21"/>
        <v>-1800</v>
      </c>
      <c r="H85" s="819">
        <f t="shared" si="22"/>
        <v>-5.7397959183673471E-2</v>
      </c>
      <c r="I85" s="553">
        <f t="shared" si="23"/>
        <v>8200</v>
      </c>
      <c r="J85" s="819">
        <f t="shared" si="24"/>
        <v>0.38389513108614232</v>
      </c>
    </row>
    <row r="86" spans="1:10" s="58" customFormat="1" x14ac:dyDescent="0.2">
      <c r="A86" s="516" t="s">
        <v>168</v>
      </c>
      <c r="B86" s="558">
        <v>1735440</v>
      </c>
      <c r="C86" s="558">
        <v>-526050</v>
      </c>
      <c r="D86" s="558">
        <v>138250</v>
      </c>
      <c r="E86" s="558">
        <v>1347640</v>
      </c>
      <c r="F86" s="558">
        <v>1718990</v>
      </c>
      <c r="G86" s="558">
        <f t="shared" si="21"/>
        <v>-16450</v>
      </c>
      <c r="H86" s="814">
        <f t="shared" si="22"/>
        <v>-9.478864149725718E-3</v>
      </c>
      <c r="I86" s="558">
        <f t="shared" si="23"/>
        <v>371350</v>
      </c>
      <c r="J86" s="814">
        <f t="shared" si="24"/>
        <v>0.2755557864118014</v>
      </c>
    </row>
    <row r="87" spans="1:10" s="58" customFormat="1" x14ac:dyDescent="0.2">
      <c r="A87" s="516" t="s">
        <v>301</v>
      </c>
      <c r="B87" s="558">
        <v>397650</v>
      </c>
      <c r="C87" s="558">
        <v>-115000</v>
      </c>
      <c r="D87" s="558"/>
      <c r="E87" s="558">
        <v>282650</v>
      </c>
      <c r="F87" s="558">
        <v>368710</v>
      </c>
      <c r="G87" s="558">
        <f t="shared" si="21"/>
        <v>-28940</v>
      </c>
      <c r="H87" s="814">
        <f t="shared" si="22"/>
        <v>-7.2777568213252861E-2</v>
      </c>
      <c r="I87" s="558">
        <f t="shared" si="23"/>
        <v>86060</v>
      </c>
      <c r="J87" s="814">
        <f t="shared" si="24"/>
        <v>0.30447549973465415</v>
      </c>
    </row>
    <row r="88" spans="1:10" s="58" customFormat="1" x14ac:dyDescent="0.2">
      <c r="A88" s="516" t="s">
        <v>170</v>
      </c>
      <c r="B88" s="558">
        <v>7000</v>
      </c>
      <c r="C88" s="558"/>
      <c r="D88" s="558"/>
      <c r="E88" s="558">
        <v>7000</v>
      </c>
      <c r="F88" s="558">
        <v>7500</v>
      </c>
      <c r="G88" s="558">
        <f t="shared" si="21"/>
        <v>500</v>
      </c>
      <c r="H88" s="814">
        <f t="shared" si="22"/>
        <v>7.1428571428571425E-2</v>
      </c>
      <c r="I88" s="558">
        <f t="shared" si="23"/>
        <v>500</v>
      </c>
      <c r="J88" s="814">
        <f t="shared" si="24"/>
        <v>7.1428571428571425E-2</v>
      </c>
    </row>
    <row r="89" spans="1:10" s="58" customFormat="1" x14ac:dyDescent="0.2">
      <c r="A89" s="516" t="s">
        <v>298</v>
      </c>
      <c r="B89" s="558">
        <v>2126340</v>
      </c>
      <c r="C89" s="558">
        <v>-972440</v>
      </c>
      <c r="D89" s="558">
        <v>29300</v>
      </c>
      <c r="E89" s="558">
        <v>1183200</v>
      </c>
      <c r="F89" s="558">
        <v>2192260</v>
      </c>
      <c r="G89" s="558">
        <f t="shared" si="21"/>
        <v>65920</v>
      </c>
      <c r="H89" s="814">
        <f t="shared" si="22"/>
        <v>3.1001627209195144E-2</v>
      </c>
      <c r="I89" s="558">
        <f t="shared" si="23"/>
        <v>1009060</v>
      </c>
      <c r="J89" s="814">
        <f t="shared" si="24"/>
        <v>0.85282285327924268</v>
      </c>
    </row>
    <row r="90" spans="1:10" s="58" customFormat="1" ht="25.5" x14ac:dyDescent="0.2">
      <c r="A90" s="517" t="s">
        <v>169</v>
      </c>
      <c r="B90" s="553">
        <v>28800</v>
      </c>
      <c r="C90" s="553"/>
      <c r="D90" s="553"/>
      <c r="E90" s="553">
        <v>28800</v>
      </c>
      <c r="F90" s="553">
        <v>24920</v>
      </c>
      <c r="G90" s="553">
        <f t="shared" si="21"/>
        <v>-3880</v>
      </c>
      <c r="H90" s="819">
        <f t="shared" si="22"/>
        <v>-0.13472222222222222</v>
      </c>
      <c r="I90" s="553">
        <f t="shared" si="23"/>
        <v>-3880</v>
      </c>
      <c r="J90" s="819">
        <f t="shared" si="24"/>
        <v>-0.13472222222222222</v>
      </c>
    </row>
    <row r="91" spans="1:10" s="58" customFormat="1" x14ac:dyDescent="0.2">
      <c r="A91" s="516" t="s">
        <v>302</v>
      </c>
      <c r="B91" s="558">
        <v>3000</v>
      </c>
      <c r="C91" s="558"/>
      <c r="D91" s="558"/>
      <c r="E91" s="558">
        <v>3000</v>
      </c>
      <c r="F91" s="558">
        <v>1000</v>
      </c>
      <c r="G91" s="558">
        <f t="shared" si="21"/>
        <v>-2000</v>
      </c>
      <c r="H91" s="814">
        <f t="shared" si="22"/>
        <v>-0.66666666666666663</v>
      </c>
      <c r="I91" s="558">
        <f t="shared" si="23"/>
        <v>-2000</v>
      </c>
      <c r="J91" s="814">
        <f t="shared" si="24"/>
        <v>-0.66666666666666663</v>
      </c>
    </row>
    <row r="92" spans="1:10" s="58" customFormat="1" x14ac:dyDescent="0.2">
      <c r="A92" s="516" t="s">
        <v>303</v>
      </c>
      <c r="B92" s="558">
        <v>4610</v>
      </c>
      <c r="C92" s="558"/>
      <c r="D92" s="558"/>
      <c r="E92" s="558">
        <v>4610</v>
      </c>
      <c r="F92" s="558">
        <v>4000</v>
      </c>
      <c r="G92" s="558">
        <f t="shared" si="21"/>
        <v>-610</v>
      </c>
      <c r="H92" s="814">
        <f t="shared" si="22"/>
        <v>-0.13232104121475055</v>
      </c>
      <c r="I92" s="558">
        <f t="shared" si="23"/>
        <v>-610</v>
      </c>
      <c r="J92" s="814">
        <f t="shared" si="24"/>
        <v>-0.13232104121475055</v>
      </c>
    </row>
    <row r="93" spans="1:10" s="58" customFormat="1" x14ac:dyDescent="0.2">
      <c r="A93" s="516" t="s">
        <v>284</v>
      </c>
      <c r="B93" s="558">
        <v>55530</v>
      </c>
      <c r="C93" s="558">
        <v>9000</v>
      </c>
      <c r="D93" s="558">
        <v>-4720</v>
      </c>
      <c r="E93" s="558">
        <v>59810</v>
      </c>
      <c r="F93" s="558">
        <v>66410</v>
      </c>
      <c r="G93" s="558">
        <f t="shared" si="21"/>
        <v>10880</v>
      </c>
      <c r="H93" s="814">
        <f t="shared" si="22"/>
        <v>0.19593012785881506</v>
      </c>
      <c r="I93" s="558">
        <f t="shared" si="23"/>
        <v>6600</v>
      </c>
      <c r="J93" s="814">
        <f t="shared" si="24"/>
        <v>0.11034943989299448</v>
      </c>
    </row>
    <row r="94" spans="1:10" s="58" customFormat="1" x14ac:dyDescent="0.2">
      <c r="A94" s="552" t="s">
        <v>124</v>
      </c>
      <c r="B94" s="549">
        <f>SUM(B95:B96)</f>
        <v>545980</v>
      </c>
      <c r="C94" s="549">
        <f>SUM(C95:C96)</f>
        <v>-11640</v>
      </c>
      <c r="D94" s="549">
        <f>SUM(D95:D96)</f>
        <v>6110</v>
      </c>
      <c r="E94" s="549">
        <f t="shared" si="18"/>
        <v>540450</v>
      </c>
      <c r="F94" s="549">
        <f>SUM(F95:F96)</f>
        <v>589430</v>
      </c>
      <c r="G94" s="549">
        <f t="shared" si="21"/>
        <v>43450</v>
      </c>
      <c r="H94" s="815">
        <f t="shared" si="22"/>
        <v>7.9581669658229243E-2</v>
      </c>
      <c r="I94" s="549">
        <f t="shared" si="23"/>
        <v>48980</v>
      </c>
      <c r="J94" s="815">
        <f t="shared" si="24"/>
        <v>9.0628180220186885E-2</v>
      </c>
    </row>
    <row r="95" spans="1:10" s="58" customFormat="1" x14ac:dyDescent="0.2">
      <c r="A95" s="516" t="s">
        <v>162</v>
      </c>
      <c r="B95" s="558">
        <v>55510</v>
      </c>
      <c r="C95" s="558">
        <f>-810-10830</f>
        <v>-11640</v>
      </c>
      <c r="D95" s="558">
        <v>6110</v>
      </c>
      <c r="E95" s="558">
        <f t="shared" si="18"/>
        <v>49980</v>
      </c>
      <c r="F95" s="558">
        <f>40700+19770+8670</f>
        <v>69140</v>
      </c>
      <c r="G95" s="558">
        <f t="shared" si="21"/>
        <v>13630</v>
      </c>
      <c r="H95" s="814">
        <f t="shared" si="22"/>
        <v>0.24554134390199964</v>
      </c>
      <c r="I95" s="558">
        <f t="shared" si="23"/>
        <v>19160</v>
      </c>
      <c r="J95" s="814">
        <f t="shared" si="24"/>
        <v>0.38335334133653459</v>
      </c>
    </row>
    <row r="96" spans="1:10" s="58" customFormat="1" x14ac:dyDescent="0.2">
      <c r="A96" s="516" t="s">
        <v>163</v>
      </c>
      <c r="B96" s="558">
        <f>291280+117910+81280</f>
        <v>490470</v>
      </c>
      <c r="C96" s="558"/>
      <c r="D96" s="558"/>
      <c r="E96" s="558">
        <f t="shared" si="18"/>
        <v>490470</v>
      </c>
      <c r="F96" s="558">
        <v>520290</v>
      </c>
      <c r="G96" s="558">
        <f t="shared" si="21"/>
        <v>29820</v>
      </c>
      <c r="H96" s="814">
        <f t="shared" si="22"/>
        <v>6.0798825616245639E-2</v>
      </c>
      <c r="I96" s="558">
        <f t="shared" si="23"/>
        <v>29820</v>
      </c>
      <c r="J96" s="814">
        <f t="shared" si="24"/>
        <v>6.0798825616245639E-2</v>
      </c>
    </row>
    <row r="97" spans="1:10" s="58" customFormat="1" x14ac:dyDescent="0.2">
      <c r="A97" s="516"/>
      <c r="B97" s="558"/>
      <c r="C97" s="558"/>
      <c r="D97" s="558"/>
      <c r="E97" s="558">
        <f t="shared" si="18"/>
        <v>0</v>
      </c>
      <c r="F97" s="558"/>
      <c r="G97" s="558">
        <f t="shared" si="21"/>
        <v>0</v>
      </c>
      <c r="H97" s="814"/>
      <c r="I97" s="558">
        <f t="shared" si="23"/>
        <v>0</v>
      </c>
      <c r="J97" s="814"/>
    </row>
    <row r="98" spans="1:10" s="58" customFormat="1" x14ac:dyDescent="0.2">
      <c r="A98" s="559" t="s">
        <v>304</v>
      </c>
      <c r="B98" s="560">
        <f>B99+B102</f>
        <v>35000</v>
      </c>
      <c r="C98" s="560">
        <f>C99+C102</f>
        <v>-3580</v>
      </c>
      <c r="D98" s="560">
        <f>D99+D102</f>
        <v>3000</v>
      </c>
      <c r="E98" s="560">
        <f t="shared" si="18"/>
        <v>34420</v>
      </c>
      <c r="F98" s="560">
        <f>F99+F102</f>
        <v>31000</v>
      </c>
      <c r="G98" s="560">
        <f t="shared" si="21"/>
        <v>-4000</v>
      </c>
      <c r="H98" s="820">
        <f t="shared" si="22"/>
        <v>-0.11428571428571428</v>
      </c>
      <c r="I98" s="560">
        <f t="shared" si="23"/>
        <v>-3420</v>
      </c>
      <c r="J98" s="820">
        <f t="shared" si="24"/>
        <v>-9.9360836722835563E-2</v>
      </c>
    </row>
    <row r="99" spans="1:10" s="58" customFormat="1" x14ac:dyDescent="0.2">
      <c r="A99" s="552" t="s">
        <v>127</v>
      </c>
      <c r="B99" s="549">
        <f>SUM(B100:B101)</f>
        <v>17000</v>
      </c>
      <c r="C99" s="549">
        <f>SUM(C100:C101)</f>
        <v>-990</v>
      </c>
      <c r="D99" s="549">
        <f>SUM(D100:D101)</f>
        <v>3000</v>
      </c>
      <c r="E99" s="549">
        <f t="shared" si="18"/>
        <v>19010</v>
      </c>
      <c r="F99" s="549">
        <f>SUM(F100:F101)</f>
        <v>13000</v>
      </c>
      <c r="G99" s="549">
        <f t="shared" si="21"/>
        <v>-4000</v>
      </c>
      <c r="H99" s="815">
        <f t="shared" si="22"/>
        <v>-0.23529411764705882</v>
      </c>
      <c r="I99" s="549">
        <f t="shared" si="23"/>
        <v>-6010</v>
      </c>
      <c r="J99" s="815">
        <f t="shared" si="24"/>
        <v>-0.31614939505523409</v>
      </c>
    </row>
    <row r="100" spans="1:10" s="58" customFormat="1" x14ac:dyDescent="0.2">
      <c r="A100" s="517" t="s">
        <v>305</v>
      </c>
      <c r="B100" s="553">
        <v>10000</v>
      </c>
      <c r="C100" s="553">
        <v>-990</v>
      </c>
      <c r="D100" s="553">
        <v>4430</v>
      </c>
      <c r="E100" s="553">
        <f t="shared" si="18"/>
        <v>13440</v>
      </c>
      <c r="F100" s="553">
        <v>10000</v>
      </c>
      <c r="G100" s="553">
        <f t="shared" si="21"/>
        <v>0</v>
      </c>
      <c r="H100" s="819">
        <f t="shared" si="22"/>
        <v>0</v>
      </c>
      <c r="I100" s="553">
        <f t="shared" si="23"/>
        <v>-3440</v>
      </c>
      <c r="J100" s="819">
        <f t="shared" si="24"/>
        <v>-0.25595238095238093</v>
      </c>
    </row>
    <row r="101" spans="1:10" s="58" customFormat="1" x14ac:dyDescent="0.2">
      <c r="A101" s="516" t="s">
        <v>298</v>
      </c>
      <c r="B101" s="558">
        <v>7000</v>
      </c>
      <c r="C101" s="558"/>
      <c r="D101" s="558">
        <v>-1430</v>
      </c>
      <c r="E101" s="558">
        <f t="shared" ref="E101:E156" si="27">B101+C101+D101</f>
        <v>5570</v>
      </c>
      <c r="F101" s="558">
        <v>3000</v>
      </c>
      <c r="G101" s="558">
        <f t="shared" si="21"/>
        <v>-4000</v>
      </c>
      <c r="H101" s="814">
        <f t="shared" si="22"/>
        <v>-0.5714285714285714</v>
      </c>
      <c r="I101" s="558">
        <f t="shared" si="23"/>
        <v>-2570</v>
      </c>
      <c r="J101" s="814">
        <f t="shared" si="24"/>
        <v>-0.46140035906642729</v>
      </c>
    </row>
    <row r="102" spans="1:10" s="58" customFormat="1" x14ac:dyDescent="0.2">
      <c r="A102" s="552" t="s">
        <v>124</v>
      </c>
      <c r="B102" s="549">
        <f t="shared" ref="B102:C102" si="28">B103</f>
        <v>18000</v>
      </c>
      <c r="C102" s="549">
        <f t="shared" si="28"/>
        <v>-2590</v>
      </c>
      <c r="D102" s="549"/>
      <c r="E102" s="549">
        <f t="shared" si="27"/>
        <v>15410</v>
      </c>
      <c r="F102" s="549">
        <f t="shared" ref="F102" si="29">F103</f>
        <v>18000</v>
      </c>
      <c r="G102" s="549">
        <f t="shared" si="21"/>
        <v>0</v>
      </c>
      <c r="H102" s="815">
        <f t="shared" si="22"/>
        <v>0</v>
      </c>
      <c r="I102" s="549">
        <f t="shared" si="23"/>
        <v>2590</v>
      </c>
      <c r="J102" s="815">
        <f t="shared" si="24"/>
        <v>0.16807268007787152</v>
      </c>
    </row>
    <row r="103" spans="1:10" s="58" customFormat="1" x14ac:dyDescent="0.2">
      <c r="A103" s="516" t="s">
        <v>163</v>
      </c>
      <c r="B103" s="558">
        <f>12000+5000+1000</f>
        <v>18000</v>
      </c>
      <c r="C103" s="558">
        <v>-2590</v>
      </c>
      <c r="D103" s="558"/>
      <c r="E103" s="558">
        <f t="shared" si="27"/>
        <v>15410</v>
      </c>
      <c r="F103" s="558">
        <v>18000</v>
      </c>
      <c r="G103" s="558">
        <f t="shared" si="21"/>
        <v>0</v>
      </c>
      <c r="H103" s="814">
        <f t="shared" si="22"/>
        <v>0</v>
      </c>
      <c r="I103" s="558">
        <f t="shared" si="23"/>
        <v>2590</v>
      </c>
      <c r="J103" s="814">
        <f t="shared" si="24"/>
        <v>0.16807268007787152</v>
      </c>
    </row>
    <row r="104" spans="1:10" s="58" customFormat="1" x14ac:dyDescent="0.2">
      <c r="A104" s="516"/>
      <c r="B104" s="558"/>
      <c r="C104" s="558"/>
      <c r="D104" s="558"/>
      <c r="E104" s="558">
        <f t="shared" si="27"/>
        <v>0</v>
      </c>
      <c r="F104" s="558"/>
      <c r="G104" s="558">
        <f t="shared" si="21"/>
        <v>0</v>
      </c>
      <c r="H104" s="814"/>
      <c r="I104" s="558">
        <f t="shared" si="23"/>
        <v>0</v>
      </c>
      <c r="J104" s="814"/>
    </row>
    <row r="105" spans="1:10" s="58" customFormat="1" x14ac:dyDescent="0.2">
      <c r="A105" s="552" t="s">
        <v>306</v>
      </c>
      <c r="B105" s="549">
        <f>B106+B114</f>
        <v>3594410</v>
      </c>
      <c r="C105" s="549">
        <f>C106+C114</f>
        <v>-959920</v>
      </c>
      <c r="D105" s="549">
        <f>D106+D114</f>
        <v>-47880</v>
      </c>
      <c r="E105" s="549">
        <f t="shared" si="27"/>
        <v>2586610</v>
      </c>
      <c r="F105" s="549">
        <f>F106+F114</f>
        <v>3614110</v>
      </c>
      <c r="G105" s="549">
        <f t="shared" si="21"/>
        <v>19700</v>
      </c>
      <c r="H105" s="815">
        <f t="shared" si="22"/>
        <v>5.4807325819814659E-3</v>
      </c>
      <c r="I105" s="549">
        <f t="shared" si="23"/>
        <v>1027500</v>
      </c>
      <c r="J105" s="815">
        <f t="shared" si="24"/>
        <v>0.39723808382400128</v>
      </c>
    </row>
    <row r="106" spans="1:10" s="58" customFormat="1" x14ac:dyDescent="0.2">
      <c r="A106" s="552" t="s">
        <v>127</v>
      </c>
      <c r="B106" s="549">
        <f>B107+B108+B109+B110+B111+B112+B113</f>
        <v>3527440</v>
      </c>
      <c r="C106" s="549">
        <f>C107+C108+C109+C110+C111+C112+C113</f>
        <v>-929710</v>
      </c>
      <c r="D106" s="549">
        <f>D107+D108+D109+D110+D111+D112+D113</f>
        <v>-46230</v>
      </c>
      <c r="E106" s="549">
        <f t="shared" si="27"/>
        <v>2551500</v>
      </c>
      <c r="F106" s="549">
        <f>F107+F108+F109+F110+F111+F112+F113</f>
        <v>3569460</v>
      </c>
      <c r="G106" s="549">
        <f t="shared" si="21"/>
        <v>42020</v>
      </c>
      <c r="H106" s="815">
        <f t="shared" si="22"/>
        <v>1.1912321683713967E-2</v>
      </c>
      <c r="I106" s="549">
        <f t="shared" si="23"/>
        <v>1017960</v>
      </c>
      <c r="J106" s="815">
        <f t="shared" si="24"/>
        <v>0.39896531452087008</v>
      </c>
    </row>
    <row r="107" spans="1:10" s="58" customFormat="1" x14ac:dyDescent="0.2">
      <c r="A107" s="516" t="s">
        <v>301</v>
      </c>
      <c r="B107" s="558">
        <v>3058660</v>
      </c>
      <c r="C107" s="558">
        <v>-924140</v>
      </c>
      <c r="D107" s="558">
        <v>-47230</v>
      </c>
      <c r="E107" s="558">
        <v>2087290</v>
      </c>
      <c r="F107" s="558">
        <v>3076410</v>
      </c>
      <c r="G107" s="558">
        <f t="shared" si="21"/>
        <v>17750</v>
      </c>
      <c r="H107" s="814">
        <f t="shared" si="22"/>
        <v>5.8031948631099891E-3</v>
      </c>
      <c r="I107" s="558">
        <f t="shared" si="23"/>
        <v>989120</v>
      </c>
      <c r="J107" s="814">
        <f t="shared" si="24"/>
        <v>0.47387761163997338</v>
      </c>
    </row>
    <row r="108" spans="1:10" s="58" customFormat="1" x14ac:dyDescent="0.2">
      <c r="A108" s="516" t="s">
        <v>170</v>
      </c>
      <c r="B108" s="558">
        <v>57500</v>
      </c>
      <c r="C108" s="558">
        <v>7740</v>
      </c>
      <c r="D108" s="558"/>
      <c r="E108" s="558">
        <v>65240</v>
      </c>
      <c r="F108" s="558">
        <v>57500</v>
      </c>
      <c r="G108" s="558">
        <f t="shared" si="21"/>
        <v>0</v>
      </c>
      <c r="H108" s="814">
        <f t="shared" si="22"/>
        <v>0</v>
      </c>
      <c r="I108" s="558">
        <f t="shared" si="23"/>
        <v>-7740</v>
      </c>
      <c r="J108" s="814">
        <f t="shared" si="24"/>
        <v>-0.11863887185775598</v>
      </c>
    </row>
    <row r="109" spans="1:10" s="58" customFormat="1" x14ac:dyDescent="0.2">
      <c r="A109" s="517" t="s">
        <v>165</v>
      </c>
      <c r="B109" s="553">
        <v>17930</v>
      </c>
      <c r="C109" s="553">
        <v>-910</v>
      </c>
      <c r="D109" s="553"/>
      <c r="E109" s="553">
        <v>17020</v>
      </c>
      <c r="F109" s="553">
        <v>17650</v>
      </c>
      <c r="G109" s="553">
        <f t="shared" si="21"/>
        <v>-280</v>
      </c>
      <c r="H109" s="819">
        <f t="shared" si="22"/>
        <v>-1.5616285554935862E-2</v>
      </c>
      <c r="I109" s="553">
        <f t="shared" si="23"/>
        <v>630</v>
      </c>
      <c r="J109" s="819">
        <f t="shared" si="24"/>
        <v>3.7015276145710929E-2</v>
      </c>
    </row>
    <row r="110" spans="1:10" s="58" customFormat="1" ht="25.5" x14ac:dyDescent="0.2">
      <c r="A110" s="517" t="s">
        <v>298</v>
      </c>
      <c r="B110" s="553">
        <v>85550</v>
      </c>
      <c r="C110" s="553">
        <v>-58370</v>
      </c>
      <c r="D110" s="553">
        <v>2000</v>
      </c>
      <c r="E110" s="553">
        <v>29180</v>
      </c>
      <c r="F110" s="553">
        <v>87300</v>
      </c>
      <c r="G110" s="553">
        <f t="shared" si="21"/>
        <v>1750</v>
      </c>
      <c r="H110" s="819">
        <f t="shared" si="22"/>
        <v>2.0455873758036237E-2</v>
      </c>
      <c r="I110" s="553">
        <f t="shared" si="23"/>
        <v>58120</v>
      </c>
      <c r="J110" s="819">
        <f t="shared" si="24"/>
        <v>1.9917751884852639</v>
      </c>
    </row>
    <row r="111" spans="1:10" s="58" customFormat="1" ht="25.5" x14ac:dyDescent="0.2">
      <c r="A111" s="517" t="s">
        <v>169</v>
      </c>
      <c r="B111" s="553">
        <v>400</v>
      </c>
      <c r="C111" s="553">
        <v>-400</v>
      </c>
      <c r="D111" s="553"/>
      <c r="E111" s="553">
        <v>0</v>
      </c>
      <c r="F111" s="553"/>
      <c r="G111" s="553">
        <f t="shared" si="21"/>
        <v>-400</v>
      </c>
      <c r="H111" s="819">
        <f t="shared" si="22"/>
        <v>-1</v>
      </c>
      <c r="I111" s="553">
        <f t="shared" si="23"/>
        <v>0</v>
      </c>
      <c r="J111" s="819"/>
    </row>
    <row r="112" spans="1:10" s="58" customFormat="1" x14ac:dyDescent="0.2">
      <c r="A112" s="561" t="s">
        <v>307</v>
      </c>
      <c r="B112" s="513">
        <v>302200</v>
      </c>
      <c r="C112" s="513">
        <v>31690</v>
      </c>
      <c r="D112" s="513"/>
      <c r="E112" s="513">
        <v>333890</v>
      </c>
      <c r="F112" s="513">
        <v>309300</v>
      </c>
      <c r="G112" s="513">
        <f t="shared" si="21"/>
        <v>7100</v>
      </c>
      <c r="H112" s="529">
        <f t="shared" si="22"/>
        <v>2.3494374586366645E-2</v>
      </c>
      <c r="I112" s="513">
        <f t="shared" si="23"/>
        <v>-24590</v>
      </c>
      <c r="J112" s="529">
        <f t="shared" si="24"/>
        <v>-7.364700949414478E-2</v>
      </c>
    </row>
    <row r="113" spans="1:10" s="58" customFormat="1" x14ac:dyDescent="0.2">
      <c r="A113" s="517" t="s">
        <v>284</v>
      </c>
      <c r="B113" s="553">
        <v>5200</v>
      </c>
      <c r="C113" s="553">
        <v>14680</v>
      </c>
      <c r="D113" s="553">
        <v>-1000</v>
      </c>
      <c r="E113" s="553">
        <v>18880</v>
      </c>
      <c r="F113" s="553">
        <v>21300</v>
      </c>
      <c r="G113" s="553">
        <f t="shared" si="21"/>
        <v>16100</v>
      </c>
      <c r="H113" s="819">
        <f t="shared" si="22"/>
        <v>3.0961538461538463</v>
      </c>
      <c r="I113" s="553">
        <f t="shared" si="23"/>
        <v>2420</v>
      </c>
      <c r="J113" s="819">
        <f t="shared" si="24"/>
        <v>0.12817796610169491</v>
      </c>
    </row>
    <row r="114" spans="1:10" s="58" customFormat="1" x14ac:dyDescent="0.2">
      <c r="A114" s="522" t="s">
        <v>124</v>
      </c>
      <c r="B114" s="514">
        <f t="shared" ref="B114" si="30">SUM(B115:B116)</f>
        <v>66970</v>
      </c>
      <c r="C114" s="514">
        <f>C115+C116</f>
        <v>-30210</v>
      </c>
      <c r="D114" s="514">
        <f>D115+D116</f>
        <v>-1650</v>
      </c>
      <c r="E114" s="514">
        <f t="shared" si="27"/>
        <v>35110</v>
      </c>
      <c r="F114" s="514">
        <f t="shared" ref="F114" si="31">SUM(F115:F116)</f>
        <v>44650</v>
      </c>
      <c r="G114" s="514">
        <f t="shared" si="21"/>
        <v>-22320</v>
      </c>
      <c r="H114" s="824">
        <f t="shared" si="22"/>
        <v>-0.33328355980289681</v>
      </c>
      <c r="I114" s="514">
        <f t="shared" si="23"/>
        <v>9540</v>
      </c>
      <c r="J114" s="824">
        <f t="shared" si="24"/>
        <v>0.27171745941327258</v>
      </c>
    </row>
    <row r="115" spans="1:10" s="58" customFormat="1" x14ac:dyDescent="0.2">
      <c r="A115" s="516" t="s">
        <v>162</v>
      </c>
      <c r="B115" s="558">
        <v>37400</v>
      </c>
      <c r="C115" s="558">
        <f>-19100-5510</f>
        <v>-24610</v>
      </c>
      <c r="D115" s="558">
        <v>-1650</v>
      </c>
      <c r="E115" s="558">
        <f t="shared" si="27"/>
        <v>11140</v>
      </c>
      <c r="F115" s="558">
        <v>19280</v>
      </c>
      <c r="G115" s="558">
        <f t="shared" si="21"/>
        <v>-18120</v>
      </c>
      <c r="H115" s="814">
        <f t="shared" si="22"/>
        <v>-0.48449197860962567</v>
      </c>
      <c r="I115" s="558">
        <f t="shared" si="23"/>
        <v>8140</v>
      </c>
      <c r="J115" s="814">
        <f t="shared" si="24"/>
        <v>0.73070017953321365</v>
      </c>
    </row>
    <row r="116" spans="1:10" s="58" customFormat="1" x14ac:dyDescent="0.2">
      <c r="A116" s="516" t="s">
        <v>163</v>
      </c>
      <c r="B116" s="558">
        <f>15780+4320+9200+270</f>
        <v>29570</v>
      </c>
      <c r="C116" s="558">
        <v>-5600</v>
      </c>
      <c r="D116" s="558"/>
      <c r="E116" s="558">
        <f t="shared" si="27"/>
        <v>23970</v>
      </c>
      <c r="F116" s="558">
        <v>25370</v>
      </c>
      <c r="G116" s="558">
        <f t="shared" si="21"/>
        <v>-4200</v>
      </c>
      <c r="H116" s="814">
        <f t="shared" si="22"/>
        <v>-0.14203584714237402</v>
      </c>
      <c r="I116" s="558">
        <f t="shared" si="23"/>
        <v>1400</v>
      </c>
      <c r="J116" s="814">
        <f t="shared" si="24"/>
        <v>5.840634125990822E-2</v>
      </c>
    </row>
    <row r="117" spans="1:10" s="58" customFormat="1" x14ac:dyDescent="0.2">
      <c r="A117" s="517"/>
      <c r="B117" s="553"/>
      <c r="C117" s="553"/>
      <c r="D117" s="553"/>
      <c r="E117" s="553">
        <f t="shared" si="27"/>
        <v>0</v>
      </c>
      <c r="F117" s="553"/>
      <c r="G117" s="553">
        <f t="shared" si="21"/>
        <v>0</v>
      </c>
      <c r="H117" s="819"/>
      <c r="I117" s="553">
        <f t="shared" si="23"/>
        <v>0</v>
      </c>
      <c r="J117" s="819"/>
    </row>
    <row r="118" spans="1:10" s="58" customFormat="1" x14ac:dyDescent="0.2">
      <c r="A118" s="552" t="s">
        <v>308</v>
      </c>
      <c r="B118" s="549">
        <f>B119+B122</f>
        <v>286900</v>
      </c>
      <c r="C118" s="549">
        <f>C119+C122</f>
        <v>-112370</v>
      </c>
      <c r="D118" s="549">
        <f>D119+D122</f>
        <v>-16640</v>
      </c>
      <c r="E118" s="549">
        <f t="shared" si="27"/>
        <v>157890</v>
      </c>
      <c r="F118" s="549">
        <f>F119+F122</f>
        <v>266820</v>
      </c>
      <c r="G118" s="549">
        <f t="shared" si="21"/>
        <v>-20080</v>
      </c>
      <c r="H118" s="815">
        <f t="shared" si="22"/>
        <v>-6.9989543394911119E-2</v>
      </c>
      <c r="I118" s="549">
        <f t="shared" si="23"/>
        <v>108930</v>
      </c>
      <c r="J118" s="815">
        <f t="shared" si="24"/>
        <v>0.68991069732091959</v>
      </c>
    </row>
    <row r="119" spans="1:10" s="58" customFormat="1" x14ac:dyDescent="0.2">
      <c r="A119" s="562" t="s">
        <v>127</v>
      </c>
      <c r="B119" s="514">
        <f>SUM(B120:B121)</f>
        <v>200200</v>
      </c>
      <c r="C119" s="514">
        <f>SUM(C120:C121)</f>
        <v>-67680</v>
      </c>
      <c r="D119" s="514">
        <f>SUM(D120:D121)</f>
        <v>0</v>
      </c>
      <c r="E119" s="514">
        <f t="shared" si="27"/>
        <v>132520</v>
      </c>
      <c r="F119" s="514">
        <f>SUM(F120:F121)</f>
        <v>200200</v>
      </c>
      <c r="G119" s="514">
        <f t="shared" si="21"/>
        <v>0</v>
      </c>
      <c r="H119" s="824">
        <f t="shared" si="22"/>
        <v>0</v>
      </c>
      <c r="I119" s="514">
        <f t="shared" si="23"/>
        <v>67680</v>
      </c>
      <c r="J119" s="824">
        <f t="shared" si="24"/>
        <v>0.51071536371868398</v>
      </c>
    </row>
    <row r="120" spans="1:10" s="58" customFormat="1" x14ac:dyDescent="0.2">
      <c r="A120" s="516" t="s">
        <v>298</v>
      </c>
      <c r="B120" s="558">
        <v>93700</v>
      </c>
      <c r="C120" s="558">
        <v>-29420</v>
      </c>
      <c r="D120" s="558"/>
      <c r="E120" s="558">
        <f t="shared" si="27"/>
        <v>64280</v>
      </c>
      <c r="F120" s="558">
        <v>93700</v>
      </c>
      <c r="G120" s="558">
        <f t="shared" si="21"/>
        <v>0</v>
      </c>
      <c r="H120" s="814">
        <f t="shared" si="22"/>
        <v>0</v>
      </c>
      <c r="I120" s="558">
        <f t="shared" si="23"/>
        <v>29420</v>
      </c>
      <c r="J120" s="814">
        <f t="shared" si="24"/>
        <v>0.45768512756689483</v>
      </c>
    </row>
    <row r="121" spans="1:10" s="58" customFormat="1" x14ac:dyDescent="0.2">
      <c r="A121" s="516" t="s">
        <v>284</v>
      </c>
      <c r="B121" s="558">
        <f>102000+4500</f>
        <v>106500</v>
      </c>
      <c r="C121" s="558">
        <f>-4500-33760</f>
        <v>-38260</v>
      </c>
      <c r="D121" s="558"/>
      <c r="E121" s="558">
        <f t="shared" si="27"/>
        <v>68240</v>
      </c>
      <c r="F121" s="558">
        <v>106500</v>
      </c>
      <c r="G121" s="558">
        <f t="shared" si="21"/>
        <v>0</v>
      </c>
      <c r="H121" s="814">
        <f t="shared" si="22"/>
        <v>0</v>
      </c>
      <c r="I121" s="558">
        <f t="shared" si="23"/>
        <v>38260</v>
      </c>
      <c r="J121" s="814">
        <f t="shared" si="24"/>
        <v>0.56066822977725672</v>
      </c>
    </row>
    <row r="122" spans="1:10" s="58" customFormat="1" x14ac:dyDescent="0.2">
      <c r="A122" s="552" t="s">
        <v>124</v>
      </c>
      <c r="B122" s="549">
        <f>SUM(B123:B124)</f>
        <v>86700</v>
      </c>
      <c r="C122" s="549">
        <f>SUM(C123:C124)</f>
        <v>-44690</v>
      </c>
      <c r="D122" s="549">
        <f>SUM(D123:D124)</f>
        <v>-16640</v>
      </c>
      <c r="E122" s="549">
        <f t="shared" si="27"/>
        <v>25370</v>
      </c>
      <c r="F122" s="549">
        <f>SUM(F123:F124)</f>
        <v>66620</v>
      </c>
      <c r="G122" s="549">
        <f t="shared" si="21"/>
        <v>-20080</v>
      </c>
      <c r="H122" s="815">
        <f t="shared" si="22"/>
        <v>-0.23160322952710496</v>
      </c>
      <c r="I122" s="549">
        <f t="shared" si="23"/>
        <v>41250</v>
      </c>
      <c r="J122" s="815">
        <f t="shared" si="24"/>
        <v>1.6259361450532124</v>
      </c>
    </row>
    <row r="123" spans="1:10" s="58" customFormat="1" x14ac:dyDescent="0.2">
      <c r="A123" s="516" t="s">
        <v>162</v>
      </c>
      <c r="B123" s="558">
        <v>64700</v>
      </c>
      <c r="C123" s="558">
        <f>-23580-16050</f>
        <v>-39630</v>
      </c>
      <c r="D123" s="558">
        <v>-16640</v>
      </c>
      <c r="E123" s="558">
        <f t="shared" si="27"/>
        <v>8430</v>
      </c>
      <c r="F123" s="558">
        <v>44620</v>
      </c>
      <c r="G123" s="558">
        <f t="shared" si="21"/>
        <v>-20080</v>
      </c>
      <c r="H123" s="814">
        <f t="shared" si="22"/>
        <v>-0.31035548686244202</v>
      </c>
      <c r="I123" s="558">
        <f t="shared" si="23"/>
        <v>36190</v>
      </c>
      <c r="J123" s="814">
        <f t="shared" si="24"/>
        <v>4.2930011862396205</v>
      </c>
    </row>
    <row r="124" spans="1:10" s="58" customFormat="1" x14ac:dyDescent="0.2">
      <c r="A124" s="516" t="s">
        <v>163</v>
      </c>
      <c r="B124" s="558">
        <f>10210+8540+3250</f>
        <v>22000</v>
      </c>
      <c r="C124" s="558">
        <v>-5060</v>
      </c>
      <c r="D124" s="558"/>
      <c r="E124" s="558">
        <f t="shared" si="27"/>
        <v>16940</v>
      </c>
      <c r="F124" s="558">
        <v>22000</v>
      </c>
      <c r="G124" s="558">
        <f t="shared" si="21"/>
        <v>0</v>
      </c>
      <c r="H124" s="814">
        <f t="shared" si="22"/>
        <v>0</v>
      </c>
      <c r="I124" s="558">
        <f t="shared" si="23"/>
        <v>5060</v>
      </c>
      <c r="J124" s="814">
        <f t="shared" si="24"/>
        <v>0.29870129870129869</v>
      </c>
    </row>
    <row r="125" spans="1:10" s="58" customFormat="1" x14ac:dyDescent="0.2">
      <c r="A125" s="516"/>
      <c r="B125" s="558"/>
      <c r="C125" s="558"/>
      <c r="D125" s="558"/>
      <c r="E125" s="558">
        <f t="shared" si="27"/>
        <v>0</v>
      </c>
      <c r="F125" s="558"/>
      <c r="G125" s="558">
        <f t="shared" si="21"/>
        <v>0</v>
      </c>
      <c r="H125" s="814"/>
      <c r="I125" s="558">
        <f t="shared" si="23"/>
        <v>0</v>
      </c>
      <c r="J125" s="814"/>
    </row>
    <row r="126" spans="1:10" x14ac:dyDescent="0.2">
      <c r="A126" s="78" t="s">
        <v>770</v>
      </c>
      <c r="B126" s="87">
        <f>B128+B139+B149+B158+B164+B175+B184+B193+B203+B214+B238+B249+B260+B264+B227</f>
        <v>9324758</v>
      </c>
      <c r="C126" s="87">
        <f>C128+C139+C149+C158+C164+C175+C184+C193+C203+C214+C238+C249+C260+C264+C227</f>
        <v>-1184734</v>
      </c>
      <c r="D126" s="87">
        <f>D128+D139+D149+D158+D164+D175+D184+D193+D203+D214+D238+D249+D260+D264+D227</f>
        <v>-1068151</v>
      </c>
      <c r="E126" s="87">
        <f t="shared" si="27"/>
        <v>7071873</v>
      </c>
      <c r="F126" s="87">
        <f>F128+F139+F149+F158+F164+F175+F184+F193+F203+F214+F238+F249+F260+F264+F227</f>
        <v>9431620</v>
      </c>
      <c r="G126" s="87">
        <f t="shared" si="21"/>
        <v>106862</v>
      </c>
      <c r="H126" s="523">
        <f t="shared" si="22"/>
        <v>1.1460029311216442E-2</v>
      </c>
      <c r="I126" s="87">
        <f t="shared" si="23"/>
        <v>2359747</v>
      </c>
      <c r="J126" s="523">
        <f t="shared" si="24"/>
        <v>0.33368062463791415</v>
      </c>
    </row>
    <row r="127" spans="1:10" x14ac:dyDescent="0.2">
      <c r="A127" s="80"/>
      <c r="B127" s="94"/>
      <c r="C127" s="94"/>
      <c r="D127" s="94"/>
      <c r="E127" s="94">
        <f t="shared" si="27"/>
        <v>0</v>
      </c>
      <c r="F127" s="94"/>
      <c r="G127" s="94">
        <f t="shared" si="21"/>
        <v>0</v>
      </c>
      <c r="H127" s="531"/>
      <c r="I127" s="94">
        <f t="shared" si="23"/>
        <v>0</v>
      </c>
      <c r="J127" s="531"/>
    </row>
    <row r="128" spans="1:10" x14ac:dyDescent="0.2">
      <c r="A128" s="76" t="s">
        <v>771</v>
      </c>
      <c r="B128" s="88">
        <f>B129+B133+B136+B131</f>
        <v>208936</v>
      </c>
      <c r="C128" s="88">
        <f>C129+C133+C136+C131</f>
        <v>-8800</v>
      </c>
      <c r="D128" s="88">
        <f>D129+D133+D136+D131</f>
        <v>-61500</v>
      </c>
      <c r="E128" s="88">
        <f t="shared" si="27"/>
        <v>138636</v>
      </c>
      <c r="F128" s="549">
        <f>F129+F133+F136+F131</f>
        <v>162000</v>
      </c>
      <c r="G128" s="549">
        <f t="shared" si="21"/>
        <v>-46936</v>
      </c>
      <c r="H128" s="815">
        <f t="shared" si="22"/>
        <v>-0.22464295286594937</v>
      </c>
      <c r="I128" s="549">
        <f t="shared" si="23"/>
        <v>23364</v>
      </c>
      <c r="J128" s="815">
        <f t="shared" si="24"/>
        <v>0.16852765515450532</v>
      </c>
    </row>
    <row r="129" spans="1:10" x14ac:dyDescent="0.2">
      <c r="A129" s="76" t="s">
        <v>128</v>
      </c>
      <c r="B129" s="88">
        <f t="shared" ref="B129:D129" si="32">B130</f>
        <v>1000</v>
      </c>
      <c r="C129" s="88">
        <f t="shared" si="32"/>
        <v>0</v>
      </c>
      <c r="D129" s="88">
        <f t="shared" si="32"/>
        <v>-500</v>
      </c>
      <c r="E129" s="88">
        <f t="shared" si="27"/>
        <v>500</v>
      </c>
      <c r="F129" s="549">
        <f t="shared" ref="F129" si="33">F130</f>
        <v>1000</v>
      </c>
      <c r="G129" s="549">
        <f t="shared" si="21"/>
        <v>0</v>
      </c>
      <c r="H129" s="815">
        <f t="shared" si="22"/>
        <v>0</v>
      </c>
      <c r="I129" s="549">
        <f t="shared" si="23"/>
        <v>500</v>
      </c>
      <c r="J129" s="815">
        <f t="shared" si="24"/>
        <v>1</v>
      </c>
    </row>
    <row r="130" spans="1:10" x14ac:dyDescent="0.2">
      <c r="A130" s="77" t="s">
        <v>173</v>
      </c>
      <c r="B130" s="90">
        <v>1000</v>
      </c>
      <c r="C130" s="90"/>
      <c r="D130" s="90">
        <v>-500</v>
      </c>
      <c r="E130" s="90">
        <f t="shared" si="27"/>
        <v>500</v>
      </c>
      <c r="F130" s="558">
        <v>1000</v>
      </c>
      <c r="G130" s="558">
        <f t="shared" si="21"/>
        <v>0</v>
      </c>
      <c r="H130" s="814">
        <f t="shared" si="22"/>
        <v>0</v>
      </c>
      <c r="I130" s="558">
        <f t="shared" si="23"/>
        <v>500</v>
      </c>
      <c r="J130" s="814">
        <f t="shared" si="24"/>
        <v>1</v>
      </c>
    </row>
    <row r="131" spans="1:10" x14ac:dyDescent="0.2">
      <c r="A131" s="442" t="s">
        <v>129</v>
      </c>
      <c r="B131" s="90">
        <f>B132</f>
        <v>19000</v>
      </c>
      <c r="C131" s="90">
        <f>C132</f>
        <v>0</v>
      </c>
      <c r="D131" s="90"/>
      <c r="E131" s="90">
        <f t="shared" si="27"/>
        <v>19000</v>
      </c>
      <c r="F131" s="558">
        <f>F132</f>
        <v>6000</v>
      </c>
      <c r="G131" s="558">
        <f t="shared" si="21"/>
        <v>-13000</v>
      </c>
      <c r="H131" s="814">
        <f t="shared" si="22"/>
        <v>-0.68421052631578949</v>
      </c>
      <c r="I131" s="558">
        <f t="shared" si="23"/>
        <v>-13000</v>
      </c>
      <c r="J131" s="814">
        <f t="shared" si="24"/>
        <v>-0.68421052631578949</v>
      </c>
    </row>
    <row r="132" spans="1:10" x14ac:dyDescent="0.2">
      <c r="A132" s="443" t="s">
        <v>178</v>
      </c>
      <c r="B132" s="90">
        <v>19000</v>
      </c>
      <c r="C132" s="90"/>
      <c r="D132" s="90"/>
      <c r="E132" s="90">
        <f t="shared" si="27"/>
        <v>19000</v>
      </c>
      <c r="F132" s="558">
        <v>6000</v>
      </c>
      <c r="G132" s="558">
        <f t="shared" si="21"/>
        <v>-13000</v>
      </c>
      <c r="H132" s="814">
        <f t="shared" si="22"/>
        <v>-0.68421052631578949</v>
      </c>
      <c r="I132" s="558">
        <f t="shared" si="23"/>
        <v>-13000</v>
      </c>
      <c r="J132" s="814">
        <f t="shared" si="24"/>
        <v>-0.68421052631578949</v>
      </c>
    </row>
    <row r="133" spans="1:10" x14ac:dyDescent="0.2">
      <c r="A133" s="76" t="s">
        <v>124</v>
      </c>
      <c r="B133" s="88">
        <f t="shared" ref="B133" si="34">SUM(B134:B135)</f>
        <v>88936</v>
      </c>
      <c r="C133" s="88">
        <f t="shared" ref="C133:D133" si="35">SUM(C134:C135)</f>
        <v>-8800</v>
      </c>
      <c r="D133" s="88">
        <f t="shared" si="35"/>
        <v>-16000</v>
      </c>
      <c r="E133" s="88">
        <f t="shared" si="27"/>
        <v>64136</v>
      </c>
      <c r="F133" s="549">
        <f t="shared" ref="F133" si="36">SUM(F134:F135)</f>
        <v>105000</v>
      </c>
      <c r="G133" s="549">
        <f t="shared" si="21"/>
        <v>16064</v>
      </c>
      <c r="H133" s="815">
        <f t="shared" si="22"/>
        <v>0.18062426913735721</v>
      </c>
      <c r="I133" s="549">
        <f t="shared" si="23"/>
        <v>40864</v>
      </c>
      <c r="J133" s="815">
        <f t="shared" si="24"/>
        <v>0.63714606461269807</v>
      </c>
    </row>
    <row r="134" spans="1:10" x14ac:dyDescent="0.2">
      <c r="A134" s="77" t="s">
        <v>162</v>
      </c>
      <c r="B134" s="90">
        <f>74400+9936</f>
        <v>84336</v>
      </c>
      <c r="C134" s="90">
        <f>-19200</f>
        <v>-19200</v>
      </c>
      <c r="D134" s="90">
        <v>-16000</v>
      </c>
      <c r="E134" s="90">
        <f t="shared" si="27"/>
        <v>49136</v>
      </c>
      <c r="F134" s="558">
        <v>84400</v>
      </c>
      <c r="G134" s="558">
        <f t="shared" ref="G134:G197" si="37">F134-B134</f>
        <v>64</v>
      </c>
      <c r="H134" s="814">
        <f t="shared" ref="H134:H197" si="38">G134/B134</f>
        <v>7.588692847656991E-4</v>
      </c>
      <c r="I134" s="558">
        <f t="shared" ref="I134:I197" si="39">F134-E134</f>
        <v>35264</v>
      </c>
      <c r="J134" s="814">
        <f t="shared" ref="J134:J197" si="40">I134/E134</f>
        <v>0.71768153695864534</v>
      </c>
    </row>
    <row r="135" spans="1:10" x14ac:dyDescent="0.2">
      <c r="A135" s="77" t="s">
        <v>163</v>
      </c>
      <c r="B135" s="90">
        <v>4600</v>
      </c>
      <c r="C135" s="90">
        <v>10400</v>
      </c>
      <c r="D135" s="90"/>
      <c r="E135" s="90">
        <f t="shared" si="27"/>
        <v>15000</v>
      </c>
      <c r="F135" s="558">
        <v>20600</v>
      </c>
      <c r="G135" s="558">
        <f t="shared" si="37"/>
        <v>16000</v>
      </c>
      <c r="H135" s="814">
        <f t="shared" si="38"/>
        <v>3.4782608695652173</v>
      </c>
      <c r="I135" s="558">
        <f t="shared" si="39"/>
        <v>5600</v>
      </c>
      <c r="J135" s="814">
        <f t="shared" si="40"/>
        <v>0.37333333333333335</v>
      </c>
    </row>
    <row r="136" spans="1:10" x14ac:dyDescent="0.2">
      <c r="A136" s="76" t="s">
        <v>125</v>
      </c>
      <c r="B136" s="88">
        <f>B137</f>
        <v>100000</v>
      </c>
      <c r="C136" s="88">
        <f t="shared" ref="C136:D136" si="41">C137</f>
        <v>0</v>
      </c>
      <c r="D136" s="88">
        <f t="shared" si="41"/>
        <v>-45000</v>
      </c>
      <c r="E136" s="88">
        <f t="shared" si="27"/>
        <v>55000</v>
      </c>
      <c r="F136" s="549">
        <f>F137</f>
        <v>50000</v>
      </c>
      <c r="G136" s="549">
        <f t="shared" si="37"/>
        <v>-50000</v>
      </c>
      <c r="H136" s="815">
        <f t="shared" si="38"/>
        <v>-0.5</v>
      </c>
      <c r="I136" s="549">
        <f t="shared" si="39"/>
        <v>-5000</v>
      </c>
      <c r="J136" s="815">
        <f t="shared" si="40"/>
        <v>-9.0909090909090912E-2</v>
      </c>
    </row>
    <row r="137" spans="1:10" x14ac:dyDescent="0.2">
      <c r="A137" s="77" t="s">
        <v>174</v>
      </c>
      <c r="B137" s="90">
        <v>100000</v>
      </c>
      <c r="C137" s="90">
        <v>0</v>
      </c>
      <c r="D137" s="90">
        <v>-45000</v>
      </c>
      <c r="E137" s="90">
        <v>55000</v>
      </c>
      <c r="F137" s="558">
        <v>50000</v>
      </c>
      <c r="G137" s="558">
        <f t="shared" si="37"/>
        <v>-50000</v>
      </c>
      <c r="H137" s="814">
        <f t="shared" si="38"/>
        <v>-0.5</v>
      </c>
      <c r="I137" s="558">
        <f t="shared" si="39"/>
        <v>-5000</v>
      </c>
      <c r="J137" s="814">
        <f t="shared" si="40"/>
        <v>-9.0909090909090912E-2</v>
      </c>
    </row>
    <row r="138" spans="1:10" x14ac:dyDescent="0.2">
      <c r="A138" s="156"/>
      <c r="B138" s="90"/>
      <c r="C138" s="90"/>
      <c r="D138" s="90"/>
      <c r="E138" s="90">
        <f t="shared" si="27"/>
        <v>0</v>
      </c>
      <c r="F138" s="90"/>
      <c r="G138" s="90">
        <f t="shared" si="37"/>
        <v>0</v>
      </c>
      <c r="H138" s="527"/>
      <c r="I138" s="90">
        <f t="shared" si="39"/>
        <v>0</v>
      </c>
      <c r="J138" s="527"/>
    </row>
    <row r="139" spans="1:10" x14ac:dyDescent="0.2">
      <c r="A139" s="76" t="s">
        <v>309</v>
      </c>
      <c r="B139" s="88">
        <f>B140+B144</f>
        <v>152000</v>
      </c>
      <c r="C139" s="88">
        <f>C140+C144+C146</f>
        <v>0</v>
      </c>
      <c r="D139" s="88"/>
      <c r="E139" s="88">
        <f t="shared" si="27"/>
        <v>152000</v>
      </c>
      <c r="F139" s="549">
        <f>F140+F144+F146</f>
        <v>152000</v>
      </c>
      <c r="G139" s="549">
        <f t="shared" si="37"/>
        <v>0</v>
      </c>
      <c r="H139" s="815">
        <f t="shared" si="38"/>
        <v>0</v>
      </c>
      <c r="I139" s="549">
        <f t="shared" si="39"/>
        <v>0</v>
      </c>
      <c r="J139" s="815">
        <f t="shared" si="40"/>
        <v>0</v>
      </c>
    </row>
    <row r="140" spans="1:10" x14ac:dyDescent="0.2">
      <c r="A140" s="76" t="s">
        <v>128</v>
      </c>
      <c r="B140" s="88">
        <f>SUM(B141:B143)</f>
        <v>123000</v>
      </c>
      <c r="C140" s="88">
        <f>SUM(C141:C143)</f>
        <v>-1700</v>
      </c>
      <c r="D140" s="88"/>
      <c r="E140" s="88">
        <f t="shared" si="27"/>
        <v>121300</v>
      </c>
      <c r="F140" s="549">
        <f>SUM(F141:F143)</f>
        <v>121300</v>
      </c>
      <c r="G140" s="549">
        <f t="shared" si="37"/>
        <v>-1700</v>
      </c>
      <c r="H140" s="815">
        <f t="shared" si="38"/>
        <v>-1.3821138211382113E-2</v>
      </c>
      <c r="I140" s="549">
        <f t="shared" si="39"/>
        <v>0</v>
      </c>
      <c r="J140" s="815">
        <f t="shared" si="40"/>
        <v>0</v>
      </c>
    </row>
    <row r="141" spans="1:10" x14ac:dyDescent="0.2">
      <c r="A141" s="79" t="s">
        <v>165</v>
      </c>
      <c r="B141" s="89">
        <f>99000+17000</f>
        <v>116000</v>
      </c>
      <c r="C141" s="89">
        <v>-1700</v>
      </c>
      <c r="D141" s="89"/>
      <c r="E141" s="89">
        <f t="shared" si="27"/>
        <v>114300</v>
      </c>
      <c r="F141" s="553">
        <v>114300</v>
      </c>
      <c r="G141" s="553">
        <f t="shared" si="37"/>
        <v>-1700</v>
      </c>
      <c r="H141" s="819">
        <f t="shared" si="38"/>
        <v>-1.4655172413793103E-2</v>
      </c>
      <c r="I141" s="553">
        <f t="shared" si="39"/>
        <v>0</v>
      </c>
      <c r="J141" s="819">
        <f t="shared" si="40"/>
        <v>0</v>
      </c>
    </row>
    <row r="142" spans="1:10" ht="25.5" x14ac:dyDescent="0.2">
      <c r="A142" s="79" t="s">
        <v>175</v>
      </c>
      <c r="B142" s="89">
        <v>6500</v>
      </c>
      <c r="C142" s="89"/>
      <c r="D142" s="89"/>
      <c r="E142" s="89">
        <f t="shared" si="27"/>
        <v>6500</v>
      </c>
      <c r="F142" s="553">
        <v>6500</v>
      </c>
      <c r="G142" s="553">
        <f t="shared" si="37"/>
        <v>0</v>
      </c>
      <c r="H142" s="819">
        <f t="shared" si="38"/>
        <v>0</v>
      </c>
      <c r="I142" s="553">
        <f t="shared" si="39"/>
        <v>0</v>
      </c>
      <c r="J142" s="819">
        <f t="shared" si="40"/>
        <v>0</v>
      </c>
    </row>
    <row r="143" spans="1:10" ht="25.5" x14ac:dyDescent="0.2">
      <c r="A143" s="79" t="s">
        <v>169</v>
      </c>
      <c r="B143" s="89">
        <v>500</v>
      </c>
      <c r="C143" s="89"/>
      <c r="D143" s="89"/>
      <c r="E143" s="89">
        <f t="shared" si="27"/>
        <v>500</v>
      </c>
      <c r="F143" s="553">
        <v>500</v>
      </c>
      <c r="G143" s="553">
        <f t="shared" si="37"/>
        <v>0</v>
      </c>
      <c r="H143" s="819">
        <f t="shared" si="38"/>
        <v>0</v>
      </c>
      <c r="I143" s="553">
        <f t="shared" si="39"/>
        <v>0</v>
      </c>
      <c r="J143" s="819">
        <f t="shared" si="40"/>
        <v>0</v>
      </c>
    </row>
    <row r="144" spans="1:10" x14ac:dyDescent="0.2">
      <c r="A144" s="76" t="s">
        <v>124</v>
      </c>
      <c r="B144" s="88">
        <f t="shared" ref="B144" si="42">B145</f>
        <v>29000</v>
      </c>
      <c r="C144" s="88">
        <f t="shared" ref="C144" si="43">C145</f>
        <v>0</v>
      </c>
      <c r="D144" s="88"/>
      <c r="E144" s="88">
        <f t="shared" si="27"/>
        <v>29000</v>
      </c>
      <c r="F144" s="549">
        <f t="shared" ref="F144" si="44">F145</f>
        <v>29000</v>
      </c>
      <c r="G144" s="549">
        <f t="shared" si="37"/>
        <v>0</v>
      </c>
      <c r="H144" s="815">
        <f t="shared" si="38"/>
        <v>0</v>
      </c>
      <c r="I144" s="549">
        <f t="shared" si="39"/>
        <v>0</v>
      </c>
      <c r="J144" s="815">
        <f t="shared" si="40"/>
        <v>0</v>
      </c>
    </row>
    <row r="145" spans="1:10" x14ac:dyDescent="0.2">
      <c r="A145" s="77" t="s">
        <v>163</v>
      </c>
      <c r="B145" s="90">
        <v>29000</v>
      </c>
      <c r="C145" s="90"/>
      <c r="D145" s="90"/>
      <c r="E145" s="90">
        <f t="shared" si="27"/>
        <v>29000</v>
      </c>
      <c r="F145" s="558">
        <v>29000</v>
      </c>
      <c r="G145" s="558">
        <f t="shared" si="37"/>
        <v>0</v>
      </c>
      <c r="H145" s="814">
        <f t="shared" si="38"/>
        <v>0</v>
      </c>
      <c r="I145" s="558">
        <f t="shared" si="39"/>
        <v>0</v>
      </c>
      <c r="J145" s="814">
        <f t="shared" si="40"/>
        <v>0</v>
      </c>
    </row>
    <row r="146" spans="1:10" x14ac:dyDescent="0.2">
      <c r="A146" s="76" t="s">
        <v>125</v>
      </c>
      <c r="B146" s="90"/>
      <c r="C146" s="90">
        <f>C147</f>
        <v>1700</v>
      </c>
      <c r="D146" s="90"/>
      <c r="E146" s="90">
        <f t="shared" si="27"/>
        <v>1700</v>
      </c>
      <c r="F146" s="558">
        <f>F147</f>
        <v>1700</v>
      </c>
      <c r="G146" s="558">
        <f t="shared" si="37"/>
        <v>1700</v>
      </c>
      <c r="H146" s="814"/>
      <c r="I146" s="558">
        <f t="shared" si="39"/>
        <v>0</v>
      </c>
      <c r="J146" s="814">
        <f t="shared" si="40"/>
        <v>0</v>
      </c>
    </row>
    <row r="147" spans="1:10" ht="25.5" x14ac:dyDescent="0.2">
      <c r="A147" s="79" t="s">
        <v>917</v>
      </c>
      <c r="B147" s="90"/>
      <c r="C147" s="90">
        <v>1700</v>
      </c>
      <c r="D147" s="90"/>
      <c r="E147" s="90">
        <f t="shared" si="27"/>
        <v>1700</v>
      </c>
      <c r="F147" s="558">
        <v>1700</v>
      </c>
      <c r="G147" s="558">
        <f t="shared" si="37"/>
        <v>1700</v>
      </c>
      <c r="H147" s="814"/>
      <c r="I147" s="558">
        <f t="shared" si="39"/>
        <v>0</v>
      </c>
      <c r="J147" s="814">
        <f t="shared" si="40"/>
        <v>0</v>
      </c>
    </row>
    <row r="148" spans="1:10" x14ac:dyDescent="0.2">
      <c r="A148" s="79"/>
      <c r="B148" s="89"/>
      <c r="C148" s="89"/>
      <c r="D148" s="89"/>
      <c r="E148" s="89">
        <f t="shared" si="27"/>
        <v>0</v>
      </c>
      <c r="F148" s="89"/>
      <c r="G148" s="89">
        <f t="shared" si="37"/>
        <v>0</v>
      </c>
      <c r="H148" s="530"/>
      <c r="I148" s="89">
        <f t="shared" si="39"/>
        <v>0</v>
      </c>
      <c r="J148" s="530"/>
    </row>
    <row r="149" spans="1:10" x14ac:dyDescent="0.2">
      <c r="A149" s="76" t="s">
        <v>588</v>
      </c>
      <c r="B149" s="88">
        <f>B150+B154</f>
        <v>590000</v>
      </c>
      <c r="C149" s="88">
        <f>C150+C154</f>
        <v>-76000</v>
      </c>
      <c r="D149" s="88">
        <f>D150+D154</f>
        <v>-264000</v>
      </c>
      <c r="E149" s="88">
        <f t="shared" si="27"/>
        <v>250000</v>
      </c>
      <c r="F149" s="549">
        <f>F150+F154</f>
        <v>590000</v>
      </c>
      <c r="G149" s="549">
        <f t="shared" si="37"/>
        <v>0</v>
      </c>
      <c r="H149" s="815">
        <f t="shared" si="38"/>
        <v>0</v>
      </c>
      <c r="I149" s="549">
        <f t="shared" si="39"/>
        <v>340000</v>
      </c>
      <c r="J149" s="815">
        <f t="shared" si="40"/>
        <v>1.36</v>
      </c>
    </row>
    <row r="150" spans="1:10" x14ac:dyDescent="0.2">
      <c r="A150" s="76" t="s">
        <v>128</v>
      </c>
      <c r="B150" s="88">
        <f>SUM(B151:B153)</f>
        <v>535600</v>
      </c>
      <c r="C150" s="88">
        <f>SUM(C151:C153)</f>
        <v>-30700</v>
      </c>
      <c r="D150" s="88">
        <f>SUM(D151:D153)</f>
        <v>-260075</v>
      </c>
      <c r="E150" s="88">
        <f t="shared" si="27"/>
        <v>244825</v>
      </c>
      <c r="F150" s="549">
        <f>SUM(F151:F153)</f>
        <v>535600</v>
      </c>
      <c r="G150" s="549">
        <f t="shared" si="37"/>
        <v>0</v>
      </c>
      <c r="H150" s="815">
        <f t="shared" si="38"/>
        <v>0</v>
      </c>
      <c r="I150" s="549">
        <f t="shared" si="39"/>
        <v>290775</v>
      </c>
      <c r="J150" s="815">
        <f t="shared" si="40"/>
        <v>1.1876850811804349</v>
      </c>
    </row>
    <row r="151" spans="1:10" x14ac:dyDescent="0.2">
      <c r="A151" s="77" t="s">
        <v>170</v>
      </c>
      <c r="B151" s="90">
        <v>410600</v>
      </c>
      <c r="C151" s="90">
        <f>-10700-20000</f>
        <v>-30700</v>
      </c>
      <c r="D151" s="90">
        <v>-225075</v>
      </c>
      <c r="E151" s="90">
        <f t="shared" si="27"/>
        <v>154825</v>
      </c>
      <c r="F151" s="558">
        <v>410600</v>
      </c>
      <c r="G151" s="558">
        <f t="shared" si="37"/>
        <v>0</v>
      </c>
      <c r="H151" s="814">
        <f t="shared" si="38"/>
        <v>0</v>
      </c>
      <c r="I151" s="558">
        <f t="shared" si="39"/>
        <v>255775</v>
      </c>
      <c r="J151" s="814">
        <f t="shared" si="40"/>
        <v>1.6520264815113839</v>
      </c>
    </row>
    <row r="152" spans="1:10" x14ac:dyDescent="0.2">
      <c r="A152" s="79" t="s">
        <v>165</v>
      </c>
      <c r="B152" s="89">
        <v>110000</v>
      </c>
      <c r="C152" s="89"/>
      <c r="D152" s="89">
        <v>-25000</v>
      </c>
      <c r="E152" s="89">
        <f t="shared" si="27"/>
        <v>85000</v>
      </c>
      <c r="F152" s="553">
        <v>110000</v>
      </c>
      <c r="G152" s="553">
        <f t="shared" si="37"/>
        <v>0</v>
      </c>
      <c r="H152" s="819">
        <f t="shared" si="38"/>
        <v>0</v>
      </c>
      <c r="I152" s="553">
        <f t="shared" si="39"/>
        <v>25000</v>
      </c>
      <c r="J152" s="819">
        <f t="shared" si="40"/>
        <v>0.29411764705882354</v>
      </c>
    </row>
    <row r="153" spans="1:10" ht="25.5" x14ac:dyDescent="0.2">
      <c r="A153" s="79" t="s">
        <v>175</v>
      </c>
      <c r="B153" s="89">
        <v>15000</v>
      </c>
      <c r="C153" s="89"/>
      <c r="D153" s="89">
        <v>-10000</v>
      </c>
      <c r="E153" s="89">
        <f t="shared" si="27"/>
        <v>5000</v>
      </c>
      <c r="F153" s="553">
        <v>15000</v>
      </c>
      <c r="G153" s="553">
        <f t="shared" si="37"/>
        <v>0</v>
      </c>
      <c r="H153" s="819">
        <f t="shared" si="38"/>
        <v>0</v>
      </c>
      <c r="I153" s="553">
        <f t="shared" si="39"/>
        <v>10000</v>
      </c>
      <c r="J153" s="819">
        <f t="shared" si="40"/>
        <v>2</v>
      </c>
    </row>
    <row r="154" spans="1:10" x14ac:dyDescent="0.2">
      <c r="A154" s="76" t="s">
        <v>124</v>
      </c>
      <c r="B154" s="88">
        <f>SUM(B155:B156)</f>
        <v>54400</v>
      </c>
      <c r="C154" s="88">
        <f>SUM(C155:C156)</f>
        <v>-45300</v>
      </c>
      <c r="D154" s="88">
        <f>SUM(D155:D156)</f>
        <v>-3925</v>
      </c>
      <c r="E154" s="88">
        <f t="shared" si="27"/>
        <v>5175</v>
      </c>
      <c r="F154" s="549">
        <f>SUM(F155:F156)</f>
        <v>54400</v>
      </c>
      <c r="G154" s="549">
        <f t="shared" si="37"/>
        <v>0</v>
      </c>
      <c r="H154" s="815">
        <f t="shared" si="38"/>
        <v>0</v>
      </c>
      <c r="I154" s="549">
        <f t="shared" si="39"/>
        <v>49225</v>
      </c>
      <c r="J154" s="815">
        <f t="shared" si="40"/>
        <v>9.5120772946859908</v>
      </c>
    </row>
    <row r="155" spans="1:10" x14ac:dyDescent="0.2">
      <c r="A155" s="77" t="s">
        <v>162</v>
      </c>
      <c r="B155" s="90">
        <f>2730+25284-14</f>
        <v>28000</v>
      </c>
      <c r="C155" s="90">
        <v>-25300</v>
      </c>
      <c r="D155" s="90">
        <v>-3925</v>
      </c>
      <c r="E155" s="90">
        <f t="shared" si="27"/>
        <v>-1225</v>
      </c>
      <c r="F155" s="558">
        <v>28000</v>
      </c>
      <c r="G155" s="558">
        <f t="shared" si="37"/>
        <v>0</v>
      </c>
      <c r="H155" s="814">
        <f t="shared" si="38"/>
        <v>0</v>
      </c>
      <c r="I155" s="558">
        <f t="shared" si="39"/>
        <v>29225</v>
      </c>
      <c r="J155" s="814">
        <f t="shared" si="40"/>
        <v>-23.857142857142858</v>
      </c>
    </row>
    <row r="156" spans="1:10" x14ac:dyDescent="0.2">
      <c r="A156" s="77" t="s">
        <v>163</v>
      </c>
      <c r="B156" s="90">
        <f>1800+24624-24</f>
        <v>26400</v>
      </c>
      <c r="C156" s="90">
        <v>-20000</v>
      </c>
      <c r="D156" s="90"/>
      <c r="E156" s="90">
        <f t="shared" si="27"/>
        <v>6400</v>
      </c>
      <c r="F156" s="558">
        <v>26400</v>
      </c>
      <c r="G156" s="558">
        <f t="shared" si="37"/>
        <v>0</v>
      </c>
      <c r="H156" s="814">
        <f t="shared" si="38"/>
        <v>0</v>
      </c>
      <c r="I156" s="558">
        <f t="shared" si="39"/>
        <v>20000</v>
      </c>
      <c r="J156" s="814">
        <f t="shared" si="40"/>
        <v>3.125</v>
      </c>
    </row>
    <row r="157" spans="1:10" x14ac:dyDescent="0.2">
      <c r="A157" s="77"/>
      <c r="B157" s="90"/>
      <c r="C157" s="90"/>
      <c r="D157" s="90"/>
      <c r="E157" s="90">
        <f t="shared" ref="E157:E208" si="45">B157+C157+D157</f>
        <v>0</v>
      </c>
      <c r="F157" s="90"/>
      <c r="G157" s="90">
        <f t="shared" si="37"/>
        <v>0</v>
      </c>
      <c r="H157" s="527"/>
      <c r="I157" s="90">
        <f t="shared" si="39"/>
        <v>0</v>
      </c>
      <c r="J157" s="527"/>
    </row>
    <row r="158" spans="1:10" x14ac:dyDescent="0.2">
      <c r="A158" s="76" t="s">
        <v>589</v>
      </c>
      <c r="B158" s="90">
        <f>SUM(B159)</f>
        <v>30000</v>
      </c>
      <c r="C158" s="90">
        <f t="shared" ref="C158:D158" si="46">SUM(C159)</f>
        <v>0</v>
      </c>
      <c r="D158" s="90">
        <f t="shared" si="46"/>
        <v>-1000</v>
      </c>
      <c r="E158" s="90">
        <f t="shared" si="45"/>
        <v>29000</v>
      </c>
      <c r="F158" s="558">
        <f>SUM(F159)</f>
        <v>30000</v>
      </c>
      <c r="G158" s="558">
        <f t="shared" si="37"/>
        <v>0</v>
      </c>
      <c r="H158" s="814">
        <f t="shared" si="38"/>
        <v>0</v>
      </c>
      <c r="I158" s="558">
        <f t="shared" si="39"/>
        <v>1000</v>
      </c>
      <c r="J158" s="814">
        <f t="shared" si="40"/>
        <v>3.4482758620689655E-2</v>
      </c>
    </row>
    <row r="159" spans="1:10" x14ac:dyDescent="0.2">
      <c r="A159" s="76" t="s">
        <v>128</v>
      </c>
      <c r="B159" s="88">
        <f>SUM(B160:B162)</f>
        <v>30000</v>
      </c>
      <c r="C159" s="88">
        <f t="shared" ref="C159:D159" si="47">SUM(C160:C162)</f>
        <v>0</v>
      </c>
      <c r="D159" s="88">
        <f t="shared" si="47"/>
        <v>-1000</v>
      </c>
      <c r="E159" s="88">
        <f t="shared" si="45"/>
        <v>29000</v>
      </c>
      <c r="F159" s="549">
        <f>SUM(F160:F162)</f>
        <v>30000</v>
      </c>
      <c r="G159" s="549">
        <f t="shared" si="37"/>
        <v>0</v>
      </c>
      <c r="H159" s="815">
        <f t="shared" si="38"/>
        <v>0</v>
      </c>
      <c r="I159" s="549">
        <f t="shared" si="39"/>
        <v>1000</v>
      </c>
      <c r="J159" s="815">
        <f t="shared" si="40"/>
        <v>3.4482758620689655E-2</v>
      </c>
    </row>
    <row r="160" spans="1:10" x14ac:dyDescent="0.2">
      <c r="A160" s="77" t="s">
        <v>170</v>
      </c>
      <c r="B160" s="90">
        <v>8500</v>
      </c>
      <c r="C160" s="90"/>
      <c r="D160" s="90"/>
      <c r="E160" s="90">
        <f t="shared" si="45"/>
        <v>8500</v>
      </c>
      <c r="F160" s="558">
        <v>8500</v>
      </c>
      <c r="G160" s="558">
        <f t="shared" si="37"/>
        <v>0</v>
      </c>
      <c r="H160" s="814">
        <f t="shared" si="38"/>
        <v>0</v>
      </c>
      <c r="I160" s="558">
        <f t="shared" si="39"/>
        <v>0</v>
      </c>
      <c r="J160" s="814">
        <f t="shared" si="40"/>
        <v>0</v>
      </c>
    </row>
    <row r="161" spans="1:10" x14ac:dyDescent="0.2">
      <c r="A161" s="77" t="s">
        <v>165</v>
      </c>
      <c r="B161" s="90">
        <f>14000+3000</f>
        <v>17000</v>
      </c>
      <c r="C161" s="90"/>
      <c r="D161" s="90"/>
      <c r="E161" s="90">
        <f t="shared" si="45"/>
        <v>17000</v>
      </c>
      <c r="F161" s="558">
        <v>17000</v>
      </c>
      <c r="G161" s="558">
        <f t="shared" si="37"/>
        <v>0</v>
      </c>
      <c r="H161" s="814">
        <f t="shared" si="38"/>
        <v>0</v>
      </c>
      <c r="I161" s="558">
        <f t="shared" si="39"/>
        <v>0</v>
      </c>
      <c r="J161" s="814">
        <f t="shared" si="40"/>
        <v>0</v>
      </c>
    </row>
    <row r="162" spans="1:10" ht="25.5" x14ac:dyDescent="0.2">
      <c r="A162" s="79" t="s">
        <v>175</v>
      </c>
      <c r="B162" s="89">
        <v>4500</v>
      </c>
      <c r="C162" s="89"/>
      <c r="D162" s="89">
        <v>-1000</v>
      </c>
      <c r="E162" s="89">
        <f t="shared" si="45"/>
        <v>3500</v>
      </c>
      <c r="F162" s="553">
        <v>4500</v>
      </c>
      <c r="G162" s="553">
        <f t="shared" si="37"/>
        <v>0</v>
      </c>
      <c r="H162" s="819">
        <f t="shared" si="38"/>
        <v>0</v>
      </c>
      <c r="I162" s="553">
        <f t="shared" si="39"/>
        <v>1000</v>
      </c>
      <c r="J162" s="819">
        <f t="shared" si="40"/>
        <v>0.2857142857142857</v>
      </c>
    </row>
    <row r="163" spans="1:10" x14ac:dyDescent="0.2">
      <c r="A163" s="79"/>
      <c r="B163" s="89"/>
      <c r="C163" s="89"/>
      <c r="D163" s="89"/>
      <c r="E163" s="89">
        <f t="shared" si="45"/>
        <v>0</v>
      </c>
      <c r="F163" s="89"/>
      <c r="G163" s="89">
        <f t="shared" si="37"/>
        <v>0</v>
      </c>
      <c r="H163" s="530"/>
      <c r="I163" s="89">
        <f t="shared" si="39"/>
        <v>0</v>
      </c>
      <c r="J163" s="530"/>
    </row>
    <row r="164" spans="1:10" x14ac:dyDescent="0.2">
      <c r="A164" s="76" t="s">
        <v>590</v>
      </c>
      <c r="B164" s="88">
        <f>B165+B172</f>
        <v>1538500</v>
      </c>
      <c r="C164" s="88">
        <f>C165+C169+C173</f>
        <v>-361500</v>
      </c>
      <c r="D164" s="88">
        <f>D165+D169+D173</f>
        <v>-351500</v>
      </c>
      <c r="E164" s="88">
        <f t="shared" si="45"/>
        <v>825500</v>
      </c>
      <c r="F164" s="549">
        <f>F165+F172+F169</f>
        <v>1521100</v>
      </c>
      <c r="G164" s="549">
        <f t="shared" si="37"/>
        <v>-17400</v>
      </c>
      <c r="H164" s="815">
        <f t="shared" si="38"/>
        <v>-1.1309717257068573E-2</v>
      </c>
      <c r="I164" s="549">
        <f t="shared" si="39"/>
        <v>695600</v>
      </c>
      <c r="J164" s="815">
        <f t="shared" si="40"/>
        <v>0.84264082374318594</v>
      </c>
    </row>
    <row r="165" spans="1:10" x14ac:dyDescent="0.2">
      <c r="A165" s="76" t="s">
        <v>128</v>
      </c>
      <c r="B165" s="88">
        <f>B166+B167+B168</f>
        <v>1408500</v>
      </c>
      <c r="C165" s="88">
        <f>C166+C167+C168</f>
        <v>-379000</v>
      </c>
      <c r="D165" s="88">
        <f>D166+D167+D168</f>
        <v>-357500</v>
      </c>
      <c r="E165" s="88">
        <f t="shared" si="45"/>
        <v>672000</v>
      </c>
      <c r="F165" s="549">
        <f>F166+F167+F168</f>
        <v>1379500</v>
      </c>
      <c r="G165" s="549">
        <f t="shared" si="37"/>
        <v>-29000</v>
      </c>
      <c r="H165" s="815">
        <f t="shared" si="38"/>
        <v>-2.0589279375221866E-2</v>
      </c>
      <c r="I165" s="549">
        <f t="shared" si="39"/>
        <v>707500</v>
      </c>
      <c r="J165" s="815">
        <f t="shared" si="40"/>
        <v>1.0528273809523809</v>
      </c>
    </row>
    <row r="166" spans="1:10" x14ac:dyDescent="0.2">
      <c r="A166" s="77" t="s">
        <v>170</v>
      </c>
      <c r="B166" s="90">
        <v>1371500</v>
      </c>
      <c r="C166" s="90">
        <v>-379000</v>
      </c>
      <c r="D166" s="90">
        <v>-357000</v>
      </c>
      <c r="E166" s="90">
        <v>635500</v>
      </c>
      <c r="F166" s="558">
        <v>1340500</v>
      </c>
      <c r="G166" s="558">
        <f t="shared" si="37"/>
        <v>-31000</v>
      </c>
      <c r="H166" s="814">
        <f t="shared" si="38"/>
        <v>-2.2602989427633977E-2</v>
      </c>
      <c r="I166" s="558">
        <f t="shared" si="39"/>
        <v>705000</v>
      </c>
      <c r="J166" s="814">
        <f t="shared" si="40"/>
        <v>1.1093627065302911</v>
      </c>
    </row>
    <row r="167" spans="1:10" x14ac:dyDescent="0.2">
      <c r="A167" s="79" t="s">
        <v>165</v>
      </c>
      <c r="B167" s="89">
        <v>35500</v>
      </c>
      <c r="C167" s="89">
        <v>0</v>
      </c>
      <c r="D167" s="89">
        <v>-500</v>
      </c>
      <c r="E167" s="89">
        <v>35000</v>
      </c>
      <c r="F167" s="553">
        <v>37500</v>
      </c>
      <c r="G167" s="553">
        <f t="shared" si="37"/>
        <v>2000</v>
      </c>
      <c r="H167" s="819">
        <f t="shared" si="38"/>
        <v>5.6338028169014086E-2</v>
      </c>
      <c r="I167" s="553">
        <f t="shared" si="39"/>
        <v>2500</v>
      </c>
      <c r="J167" s="819">
        <f t="shared" si="40"/>
        <v>7.1428571428571425E-2</v>
      </c>
    </row>
    <row r="168" spans="1:10" ht="25.5" x14ac:dyDescent="0.2">
      <c r="A168" s="79" t="s">
        <v>175</v>
      </c>
      <c r="B168" s="89">
        <v>1500</v>
      </c>
      <c r="C168" s="89"/>
      <c r="D168" s="89"/>
      <c r="E168" s="89">
        <f t="shared" si="45"/>
        <v>1500</v>
      </c>
      <c r="F168" s="553">
        <v>1500</v>
      </c>
      <c r="G168" s="553">
        <f t="shared" si="37"/>
        <v>0</v>
      </c>
      <c r="H168" s="819">
        <f t="shared" si="38"/>
        <v>0</v>
      </c>
      <c r="I168" s="553">
        <f t="shared" si="39"/>
        <v>0</v>
      </c>
      <c r="J168" s="819">
        <f t="shared" si="40"/>
        <v>0</v>
      </c>
    </row>
    <row r="169" spans="1:10" x14ac:dyDescent="0.2">
      <c r="A169" s="76" t="s">
        <v>124</v>
      </c>
      <c r="B169" s="89"/>
      <c r="C169" s="89">
        <f>C170+C171</f>
        <v>17500</v>
      </c>
      <c r="D169" s="89">
        <f>D170+D171</f>
        <v>16000</v>
      </c>
      <c r="E169" s="89">
        <f t="shared" si="45"/>
        <v>33500</v>
      </c>
      <c r="F169" s="553">
        <f>F170+F171</f>
        <v>21600</v>
      </c>
      <c r="G169" s="553">
        <f t="shared" si="37"/>
        <v>21600</v>
      </c>
      <c r="H169" s="819"/>
      <c r="I169" s="553">
        <f t="shared" si="39"/>
        <v>-11900</v>
      </c>
      <c r="J169" s="819">
        <f t="shared" si="40"/>
        <v>-0.35522388059701493</v>
      </c>
    </row>
    <row r="170" spans="1:10" x14ac:dyDescent="0.2">
      <c r="A170" s="77" t="s">
        <v>162</v>
      </c>
      <c r="B170" s="89"/>
      <c r="C170" s="89">
        <v>270</v>
      </c>
      <c r="D170" s="89"/>
      <c r="E170" s="89">
        <f t="shared" si="45"/>
        <v>270</v>
      </c>
      <c r="F170" s="553"/>
      <c r="G170" s="553">
        <f t="shared" si="37"/>
        <v>0</v>
      </c>
      <c r="H170" s="819"/>
      <c r="I170" s="553">
        <f t="shared" si="39"/>
        <v>-270</v>
      </c>
      <c r="J170" s="819">
        <f t="shared" si="40"/>
        <v>-1</v>
      </c>
    </row>
    <row r="171" spans="1:10" x14ac:dyDescent="0.2">
      <c r="A171" s="77" t="s">
        <v>163</v>
      </c>
      <c r="B171" s="89"/>
      <c r="C171" s="89">
        <v>17230</v>
      </c>
      <c r="D171" s="89">
        <v>16000</v>
      </c>
      <c r="E171" s="89">
        <f t="shared" si="45"/>
        <v>33230</v>
      </c>
      <c r="F171" s="553">
        <v>21600</v>
      </c>
      <c r="G171" s="553">
        <f t="shared" si="37"/>
        <v>21600</v>
      </c>
      <c r="H171" s="819"/>
      <c r="I171" s="553">
        <f t="shared" si="39"/>
        <v>-11630</v>
      </c>
      <c r="J171" s="819">
        <f t="shared" si="40"/>
        <v>-0.34998495335540175</v>
      </c>
    </row>
    <row r="172" spans="1:10" x14ac:dyDescent="0.2">
      <c r="A172" s="76" t="s">
        <v>125</v>
      </c>
      <c r="B172" s="88">
        <f>B173</f>
        <v>130000</v>
      </c>
      <c r="C172" s="88">
        <f t="shared" ref="C172:D172" si="48">C173</f>
        <v>0</v>
      </c>
      <c r="D172" s="88">
        <f t="shared" si="48"/>
        <v>-10000</v>
      </c>
      <c r="E172" s="88">
        <f t="shared" si="45"/>
        <v>120000</v>
      </c>
      <c r="F172" s="549">
        <f>F173</f>
        <v>120000</v>
      </c>
      <c r="G172" s="549">
        <f t="shared" si="37"/>
        <v>-10000</v>
      </c>
      <c r="H172" s="815">
        <f t="shared" si="38"/>
        <v>-7.6923076923076927E-2</v>
      </c>
      <c r="I172" s="549">
        <f t="shared" si="39"/>
        <v>0</v>
      </c>
      <c r="J172" s="815">
        <f t="shared" si="40"/>
        <v>0</v>
      </c>
    </row>
    <row r="173" spans="1:10" x14ac:dyDescent="0.2">
      <c r="A173" s="79" t="s">
        <v>177</v>
      </c>
      <c r="B173" s="89">
        <v>130000</v>
      </c>
      <c r="C173" s="89">
        <v>0</v>
      </c>
      <c r="D173" s="89">
        <v>-10000</v>
      </c>
      <c r="E173" s="89">
        <v>120000</v>
      </c>
      <c r="F173" s="553">
        <v>120000</v>
      </c>
      <c r="G173" s="553">
        <f t="shared" si="37"/>
        <v>-10000</v>
      </c>
      <c r="H173" s="819">
        <f t="shared" si="38"/>
        <v>-7.6923076923076927E-2</v>
      </c>
      <c r="I173" s="553">
        <f t="shared" si="39"/>
        <v>0</v>
      </c>
      <c r="J173" s="819">
        <f t="shared" si="40"/>
        <v>0</v>
      </c>
    </row>
    <row r="174" spans="1:10" x14ac:dyDescent="0.2">
      <c r="A174" s="79"/>
      <c r="B174" s="89"/>
      <c r="C174" s="89"/>
      <c r="D174" s="89"/>
      <c r="E174" s="89">
        <f t="shared" si="45"/>
        <v>0</v>
      </c>
      <c r="F174" s="89"/>
      <c r="G174" s="89">
        <f t="shared" si="37"/>
        <v>0</v>
      </c>
      <c r="H174" s="530"/>
      <c r="I174" s="89">
        <f t="shared" si="39"/>
        <v>0</v>
      </c>
      <c r="J174" s="530"/>
    </row>
    <row r="175" spans="1:10" x14ac:dyDescent="0.2">
      <c r="A175" s="76" t="s">
        <v>591</v>
      </c>
      <c r="B175" s="88">
        <f>B176+B181</f>
        <v>384000</v>
      </c>
      <c r="C175" s="88">
        <f>C176+C181</f>
        <v>-119000</v>
      </c>
      <c r="D175" s="88">
        <f>D176+D181</f>
        <v>-114800</v>
      </c>
      <c r="E175" s="88">
        <f t="shared" si="45"/>
        <v>150200</v>
      </c>
      <c r="F175" s="549">
        <f>F176+F181</f>
        <v>421000</v>
      </c>
      <c r="G175" s="549">
        <f t="shared" si="37"/>
        <v>37000</v>
      </c>
      <c r="H175" s="815">
        <f t="shared" si="38"/>
        <v>9.6354166666666671E-2</v>
      </c>
      <c r="I175" s="549">
        <f t="shared" si="39"/>
        <v>270800</v>
      </c>
      <c r="J175" s="815">
        <f t="shared" si="40"/>
        <v>1.8029294274300931</v>
      </c>
    </row>
    <row r="176" spans="1:10" x14ac:dyDescent="0.2">
      <c r="A176" s="76" t="s">
        <v>128</v>
      </c>
      <c r="B176" s="88">
        <f>B177+B178+B179+B180</f>
        <v>357000</v>
      </c>
      <c r="C176" s="88">
        <f>C177+C178+C179+C180</f>
        <v>-119000</v>
      </c>
      <c r="D176" s="88">
        <f>D177+D178+D179+D180</f>
        <v>-100000</v>
      </c>
      <c r="E176" s="88">
        <f t="shared" si="45"/>
        <v>138000</v>
      </c>
      <c r="F176" s="549">
        <f>F177+F178+F179+F180</f>
        <v>383000</v>
      </c>
      <c r="G176" s="549">
        <f t="shared" si="37"/>
        <v>26000</v>
      </c>
      <c r="H176" s="815">
        <f t="shared" si="38"/>
        <v>7.2829131652661069E-2</v>
      </c>
      <c r="I176" s="549">
        <f t="shared" si="39"/>
        <v>245000</v>
      </c>
      <c r="J176" s="815">
        <f t="shared" si="40"/>
        <v>1.7753623188405796</v>
      </c>
    </row>
    <row r="177" spans="1:10" x14ac:dyDescent="0.2">
      <c r="A177" s="77" t="s">
        <v>170</v>
      </c>
      <c r="B177" s="89">
        <v>220000</v>
      </c>
      <c r="C177" s="89">
        <v>-87000</v>
      </c>
      <c r="D177" s="89">
        <v>-108000</v>
      </c>
      <c r="E177" s="89">
        <v>25000</v>
      </c>
      <c r="F177" s="553">
        <v>224000</v>
      </c>
      <c r="G177" s="553">
        <f t="shared" si="37"/>
        <v>4000</v>
      </c>
      <c r="H177" s="819">
        <f t="shared" si="38"/>
        <v>1.8181818181818181E-2</v>
      </c>
      <c r="I177" s="553">
        <f t="shared" si="39"/>
        <v>199000</v>
      </c>
      <c r="J177" s="819">
        <f t="shared" si="40"/>
        <v>7.96</v>
      </c>
    </row>
    <row r="178" spans="1:10" x14ac:dyDescent="0.2">
      <c r="A178" s="79" t="s">
        <v>165</v>
      </c>
      <c r="B178" s="89">
        <v>28000</v>
      </c>
      <c r="C178" s="89">
        <v>15000</v>
      </c>
      <c r="D178" s="89">
        <v>13000</v>
      </c>
      <c r="E178" s="89">
        <v>56000</v>
      </c>
      <c r="F178" s="553">
        <v>75000</v>
      </c>
      <c r="G178" s="553">
        <f t="shared" si="37"/>
        <v>47000</v>
      </c>
      <c r="H178" s="819">
        <f t="shared" si="38"/>
        <v>1.6785714285714286</v>
      </c>
      <c r="I178" s="553">
        <f t="shared" si="39"/>
        <v>19000</v>
      </c>
      <c r="J178" s="819">
        <f t="shared" si="40"/>
        <v>0.3392857142857143</v>
      </c>
    </row>
    <row r="179" spans="1:10" ht="25.5" x14ac:dyDescent="0.2">
      <c r="A179" s="79" t="s">
        <v>175</v>
      </c>
      <c r="B179" s="89">
        <v>100000</v>
      </c>
      <c r="C179" s="89">
        <v>-45000</v>
      </c>
      <c r="D179" s="89">
        <v>-5000</v>
      </c>
      <c r="E179" s="89">
        <v>50000</v>
      </c>
      <c r="F179" s="553">
        <v>75000</v>
      </c>
      <c r="G179" s="553">
        <f t="shared" si="37"/>
        <v>-25000</v>
      </c>
      <c r="H179" s="819">
        <f t="shared" si="38"/>
        <v>-0.25</v>
      </c>
      <c r="I179" s="553">
        <f t="shared" si="39"/>
        <v>25000</v>
      </c>
      <c r="J179" s="819">
        <f t="shared" si="40"/>
        <v>0.5</v>
      </c>
    </row>
    <row r="180" spans="1:10" ht="25.5" x14ac:dyDescent="0.2">
      <c r="A180" s="79" t="s">
        <v>169</v>
      </c>
      <c r="B180" s="89">
        <v>9000</v>
      </c>
      <c r="C180" s="89">
        <v>-2000</v>
      </c>
      <c r="D180" s="89"/>
      <c r="E180" s="89">
        <v>7000</v>
      </c>
      <c r="F180" s="553">
        <v>9000</v>
      </c>
      <c r="G180" s="553">
        <f t="shared" si="37"/>
        <v>0</v>
      </c>
      <c r="H180" s="819">
        <f t="shared" si="38"/>
        <v>0</v>
      </c>
      <c r="I180" s="553">
        <f t="shared" si="39"/>
        <v>2000</v>
      </c>
      <c r="J180" s="819">
        <f t="shared" si="40"/>
        <v>0.2857142857142857</v>
      </c>
    </row>
    <row r="181" spans="1:10" x14ac:dyDescent="0.2">
      <c r="A181" s="76" t="s">
        <v>125</v>
      </c>
      <c r="B181" s="88">
        <f t="shared" ref="B181:D181" si="49">B182</f>
        <v>27000</v>
      </c>
      <c r="C181" s="88">
        <f t="shared" si="49"/>
        <v>0</v>
      </c>
      <c r="D181" s="88">
        <f t="shared" si="49"/>
        <v>-14800</v>
      </c>
      <c r="E181" s="88">
        <f t="shared" si="45"/>
        <v>12200</v>
      </c>
      <c r="F181" s="549">
        <f t="shared" ref="F181" si="50">F182</f>
        <v>38000</v>
      </c>
      <c r="G181" s="549">
        <f t="shared" si="37"/>
        <v>11000</v>
      </c>
      <c r="H181" s="815">
        <f t="shared" si="38"/>
        <v>0.40740740740740738</v>
      </c>
      <c r="I181" s="549">
        <f t="shared" si="39"/>
        <v>25800</v>
      </c>
      <c r="J181" s="815">
        <f t="shared" si="40"/>
        <v>2.1147540983606556</v>
      </c>
    </row>
    <row r="182" spans="1:10" x14ac:dyDescent="0.2">
      <c r="A182" s="79" t="s">
        <v>177</v>
      </c>
      <c r="B182" s="89">
        <v>27000</v>
      </c>
      <c r="C182" s="89">
        <v>0</v>
      </c>
      <c r="D182" s="89">
        <v>-14800</v>
      </c>
      <c r="E182" s="89">
        <v>12200</v>
      </c>
      <c r="F182" s="553">
        <v>38000</v>
      </c>
      <c r="G182" s="553">
        <f t="shared" si="37"/>
        <v>11000</v>
      </c>
      <c r="H182" s="819">
        <f t="shared" si="38"/>
        <v>0.40740740740740738</v>
      </c>
      <c r="I182" s="553">
        <f t="shared" si="39"/>
        <v>25800</v>
      </c>
      <c r="J182" s="819">
        <f t="shared" si="40"/>
        <v>2.1147540983606556</v>
      </c>
    </row>
    <row r="183" spans="1:10" x14ac:dyDescent="0.2">
      <c r="A183" s="79"/>
      <c r="B183" s="89"/>
      <c r="C183" s="89"/>
      <c r="D183" s="89"/>
      <c r="E183" s="89">
        <f t="shared" si="45"/>
        <v>0</v>
      </c>
      <c r="F183" s="89"/>
      <c r="G183" s="89">
        <f t="shared" si="37"/>
        <v>0</v>
      </c>
      <c r="H183" s="530"/>
      <c r="I183" s="89">
        <f t="shared" si="39"/>
        <v>0</v>
      </c>
      <c r="J183" s="530"/>
    </row>
    <row r="184" spans="1:10" x14ac:dyDescent="0.2">
      <c r="A184" s="76" t="s">
        <v>592</v>
      </c>
      <c r="B184" s="269">
        <f>B185+B190</f>
        <v>245000</v>
      </c>
      <c r="C184" s="269">
        <f>C185+C190</f>
        <v>-20000</v>
      </c>
      <c r="D184" s="269"/>
      <c r="E184" s="269">
        <f t="shared" si="45"/>
        <v>225000</v>
      </c>
      <c r="F184" s="576">
        <f>F185+F190</f>
        <v>225000</v>
      </c>
      <c r="G184" s="576">
        <f t="shared" si="37"/>
        <v>-20000</v>
      </c>
      <c r="H184" s="757">
        <f t="shared" si="38"/>
        <v>-8.1632653061224483E-2</v>
      </c>
      <c r="I184" s="576">
        <f t="shared" si="39"/>
        <v>0</v>
      </c>
      <c r="J184" s="757">
        <f t="shared" si="40"/>
        <v>0</v>
      </c>
    </row>
    <row r="185" spans="1:10" x14ac:dyDescent="0.2">
      <c r="A185" s="76" t="s">
        <v>128</v>
      </c>
      <c r="B185" s="88">
        <f>SUM(B186:B189)</f>
        <v>242850</v>
      </c>
      <c r="C185" s="88">
        <f>SUM(C187:C189)</f>
        <v>-19550</v>
      </c>
      <c r="D185" s="88"/>
      <c r="E185" s="88">
        <f t="shared" si="45"/>
        <v>223300</v>
      </c>
      <c r="F185" s="549">
        <f>SUM(F186:F189)</f>
        <v>222850</v>
      </c>
      <c r="G185" s="549">
        <f t="shared" si="37"/>
        <v>-20000</v>
      </c>
      <c r="H185" s="815">
        <f t="shared" si="38"/>
        <v>-8.2355363393040976E-2</v>
      </c>
      <c r="I185" s="549">
        <f t="shared" si="39"/>
        <v>-450</v>
      </c>
      <c r="J185" s="815">
        <f t="shared" si="40"/>
        <v>-2.0152261531571876E-3</v>
      </c>
    </row>
    <row r="186" spans="1:10" x14ac:dyDescent="0.2">
      <c r="A186" s="77" t="s">
        <v>173</v>
      </c>
      <c r="B186" s="90">
        <v>28500</v>
      </c>
      <c r="C186" s="90"/>
      <c r="D186" s="90"/>
      <c r="E186" s="90">
        <f t="shared" si="45"/>
        <v>28500</v>
      </c>
      <c r="F186" s="558">
        <v>22000</v>
      </c>
      <c r="G186" s="558">
        <f t="shared" si="37"/>
        <v>-6500</v>
      </c>
      <c r="H186" s="814">
        <f t="shared" si="38"/>
        <v>-0.22807017543859648</v>
      </c>
      <c r="I186" s="558">
        <f t="shared" si="39"/>
        <v>-6500</v>
      </c>
      <c r="J186" s="814">
        <f t="shared" si="40"/>
        <v>-0.22807017543859648</v>
      </c>
    </row>
    <row r="187" spans="1:10" x14ac:dyDescent="0.2">
      <c r="A187" s="77" t="s">
        <v>170</v>
      </c>
      <c r="B187" s="90">
        <v>1200</v>
      </c>
      <c r="C187" s="90">
        <v>-700</v>
      </c>
      <c r="D187" s="90"/>
      <c r="E187" s="90">
        <f t="shared" si="45"/>
        <v>500</v>
      </c>
      <c r="F187" s="558">
        <v>550</v>
      </c>
      <c r="G187" s="558">
        <f t="shared" si="37"/>
        <v>-650</v>
      </c>
      <c r="H187" s="814">
        <f t="shared" si="38"/>
        <v>-0.54166666666666663</v>
      </c>
      <c r="I187" s="558">
        <f t="shared" si="39"/>
        <v>50</v>
      </c>
      <c r="J187" s="814">
        <f t="shared" si="40"/>
        <v>0.1</v>
      </c>
    </row>
    <row r="188" spans="1:10" x14ac:dyDescent="0.2">
      <c r="A188" s="79" t="s">
        <v>301</v>
      </c>
      <c r="B188" s="89">
        <v>191150</v>
      </c>
      <c r="C188" s="89">
        <v>-9000</v>
      </c>
      <c r="D188" s="89"/>
      <c r="E188" s="89">
        <f t="shared" si="45"/>
        <v>182150</v>
      </c>
      <c r="F188" s="553">
        <v>190300</v>
      </c>
      <c r="G188" s="553">
        <f t="shared" si="37"/>
        <v>-850</v>
      </c>
      <c r="H188" s="819">
        <f t="shared" si="38"/>
        <v>-4.4467695527072981E-3</v>
      </c>
      <c r="I188" s="553">
        <f t="shared" si="39"/>
        <v>8150</v>
      </c>
      <c r="J188" s="819">
        <f t="shared" si="40"/>
        <v>4.4743343398298108E-2</v>
      </c>
    </row>
    <row r="189" spans="1:10" ht="25.5" x14ac:dyDescent="0.2">
      <c r="A189" s="79" t="s">
        <v>175</v>
      </c>
      <c r="B189" s="89">
        <v>22000</v>
      </c>
      <c r="C189" s="89">
        <v>-9850</v>
      </c>
      <c r="D189" s="89"/>
      <c r="E189" s="89">
        <f t="shared" si="45"/>
        <v>12150</v>
      </c>
      <c r="F189" s="553">
        <v>10000</v>
      </c>
      <c r="G189" s="553">
        <f t="shared" si="37"/>
        <v>-12000</v>
      </c>
      <c r="H189" s="819">
        <f t="shared" si="38"/>
        <v>-0.54545454545454541</v>
      </c>
      <c r="I189" s="553">
        <f t="shared" si="39"/>
        <v>-2150</v>
      </c>
      <c r="J189" s="819">
        <f t="shared" si="40"/>
        <v>-0.17695473251028807</v>
      </c>
    </row>
    <row r="190" spans="1:10" x14ac:dyDescent="0.2">
      <c r="A190" s="76" t="s">
        <v>124</v>
      </c>
      <c r="B190" s="88">
        <f>SUM(B191)</f>
        <v>2150</v>
      </c>
      <c r="C190" s="88">
        <f>C191+C196</f>
        <v>-450</v>
      </c>
      <c r="D190" s="88"/>
      <c r="E190" s="88">
        <f t="shared" si="45"/>
        <v>1700</v>
      </c>
      <c r="F190" s="549">
        <f>SUM(F191)</f>
        <v>2150</v>
      </c>
      <c r="G190" s="549">
        <f t="shared" si="37"/>
        <v>0</v>
      </c>
      <c r="H190" s="815">
        <f t="shared" si="38"/>
        <v>0</v>
      </c>
      <c r="I190" s="549">
        <f t="shared" si="39"/>
        <v>450</v>
      </c>
      <c r="J190" s="815">
        <f t="shared" si="40"/>
        <v>0.26470588235294118</v>
      </c>
    </row>
    <row r="191" spans="1:10" x14ac:dyDescent="0.2">
      <c r="A191" s="77" t="s">
        <v>162</v>
      </c>
      <c r="B191" s="90">
        <v>2150</v>
      </c>
      <c r="C191" s="90">
        <v>-450</v>
      </c>
      <c r="D191" s="90"/>
      <c r="E191" s="90">
        <f t="shared" si="45"/>
        <v>1700</v>
      </c>
      <c r="F191" s="558">
        <v>2150</v>
      </c>
      <c r="G191" s="558">
        <f t="shared" si="37"/>
        <v>0</v>
      </c>
      <c r="H191" s="814">
        <f t="shared" si="38"/>
        <v>0</v>
      </c>
      <c r="I191" s="558">
        <f t="shared" si="39"/>
        <v>450</v>
      </c>
      <c r="J191" s="814">
        <f t="shared" si="40"/>
        <v>0.26470588235294118</v>
      </c>
    </row>
    <row r="192" spans="1:10" x14ac:dyDescent="0.2">
      <c r="A192" s="79"/>
      <c r="B192" s="89"/>
      <c r="C192" s="89"/>
      <c r="D192" s="89"/>
      <c r="E192" s="89">
        <f t="shared" si="45"/>
        <v>0</v>
      </c>
      <c r="F192" s="553"/>
      <c r="G192" s="553">
        <f t="shared" si="37"/>
        <v>0</v>
      </c>
      <c r="H192" s="819"/>
      <c r="I192" s="553">
        <f t="shared" si="39"/>
        <v>0</v>
      </c>
      <c r="J192" s="819"/>
    </row>
    <row r="193" spans="1:10" x14ac:dyDescent="0.2">
      <c r="A193" s="76" t="s">
        <v>593</v>
      </c>
      <c r="B193" s="88">
        <f>B194+B199</f>
        <v>224000</v>
      </c>
      <c r="C193" s="88">
        <f>C194+C199</f>
        <v>-46000</v>
      </c>
      <c r="D193" s="88">
        <f>D194+D199</f>
        <v>-25000</v>
      </c>
      <c r="E193" s="88">
        <f t="shared" si="45"/>
        <v>153000</v>
      </c>
      <c r="F193" s="549">
        <f>F194+F199</f>
        <v>235000</v>
      </c>
      <c r="G193" s="549">
        <f t="shared" si="37"/>
        <v>11000</v>
      </c>
      <c r="H193" s="815">
        <f t="shared" si="38"/>
        <v>4.9107142857142856E-2</v>
      </c>
      <c r="I193" s="549">
        <f t="shared" si="39"/>
        <v>82000</v>
      </c>
      <c r="J193" s="815">
        <f t="shared" si="40"/>
        <v>0.53594771241830064</v>
      </c>
    </row>
    <row r="194" spans="1:10" x14ac:dyDescent="0.2">
      <c r="A194" s="76" t="s">
        <v>128</v>
      </c>
      <c r="B194" s="88">
        <f>SUM(B195:B198)</f>
        <v>164000</v>
      </c>
      <c r="C194" s="88">
        <f>SUM(C195:C198)</f>
        <v>-30000</v>
      </c>
      <c r="D194" s="88">
        <f>SUM(D195:D198)</f>
        <v>-19000</v>
      </c>
      <c r="E194" s="88">
        <f t="shared" si="45"/>
        <v>115000</v>
      </c>
      <c r="F194" s="549">
        <f>SUM(F195:F198)</f>
        <v>174000</v>
      </c>
      <c r="G194" s="549">
        <f t="shared" si="37"/>
        <v>10000</v>
      </c>
      <c r="H194" s="815">
        <f t="shared" si="38"/>
        <v>6.097560975609756E-2</v>
      </c>
      <c r="I194" s="549">
        <f t="shared" si="39"/>
        <v>59000</v>
      </c>
      <c r="J194" s="815">
        <f t="shared" si="40"/>
        <v>0.5130434782608696</v>
      </c>
    </row>
    <row r="195" spans="1:10" x14ac:dyDescent="0.2">
      <c r="A195" s="77" t="s">
        <v>173</v>
      </c>
      <c r="B195" s="90">
        <v>19500</v>
      </c>
      <c r="C195" s="90"/>
      <c r="D195" s="90">
        <v>-9000</v>
      </c>
      <c r="E195" s="90">
        <f t="shared" si="45"/>
        <v>10500</v>
      </c>
      <c r="F195" s="558">
        <v>19500</v>
      </c>
      <c r="G195" s="558">
        <f t="shared" si="37"/>
        <v>0</v>
      </c>
      <c r="H195" s="814">
        <f t="shared" si="38"/>
        <v>0</v>
      </c>
      <c r="I195" s="558">
        <f t="shared" si="39"/>
        <v>9000</v>
      </c>
      <c r="J195" s="814">
        <f t="shared" si="40"/>
        <v>0.8571428571428571</v>
      </c>
    </row>
    <row r="196" spans="1:10" x14ac:dyDescent="0.2">
      <c r="A196" s="77" t="s">
        <v>170</v>
      </c>
      <c r="B196" s="90">
        <v>33500</v>
      </c>
      <c r="C196" s="90"/>
      <c r="D196" s="90">
        <v>-10000</v>
      </c>
      <c r="E196" s="90">
        <f t="shared" si="45"/>
        <v>23500</v>
      </c>
      <c r="F196" s="558">
        <v>43500</v>
      </c>
      <c r="G196" s="558">
        <f t="shared" si="37"/>
        <v>10000</v>
      </c>
      <c r="H196" s="814">
        <f t="shared" si="38"/>
        <v>0.29850746268656714</v>
      </c>
      <c r="I196" s="558">
        <f t="shared" si="39"/>
        <v>20000</v>
      </c>
      <c r="J196" s="814">
        <f t="shared" si="40"/>
        <v>0.85106382978723405</v>
      </c>
    </row>
    <row r="197" spans="1:10" ht="25.5" x14ac:dyDescent="0.2">
      <c r="A197" s="79" t="s">
        <v>175</v>
      </c>
      <c r="B197" s="89">
        <v>109000</v>
      </c>
      <c r="C197" s="89">
        <f>-16000-14000</f>
        <v>-30000</v>
      </c>
      <c r="D197" s="89"/>
      <c r="E197" s="89">
        <f t="shared" si="45"/>
        <v>79000</v>
      </c>
      <c r="F197" s="553">
        <v>109000</v>
      </c>
      <c r="G197" s="553">
        <f t="shared" si="37"/>
        <v>0</v>
      </c>
      <c r="H197" s="819">
        <f t="shared" si="38"/>
        <v>0</v>
      </c>
      <c r="I197" s="553">
        <f t="shared" si="39"/>
        <v>30000</v>
      </c>
      <c r="J197" s="819">
        <f t="shared" si="40"/>
        <v>0.379746835443038</v>
      </c>
    </row>
    <row r="198" spans="1:10" ht="25.5" x14ac:dyDescent="0.2">
      <c r="A198" s="79" t="s">
        <v>169</v>
      </c>
      <c r="B198" s="89">
        <v>2000</v>
      </c>
      <c r="C198" s="89"/>
      <c r="D198" s="89"/>
      <c r="E198" s="89">
        <f t="shared" si="45"/>
        <v>2000</v>
      </c>
      <c r="F198" s="553">
        <v>2000</v>
      </c>
      <c r="G198" s="553">
        <f t="shared" ref="G198:G261" si="51">F198-B198</f>
        <v>0</v>
      </c>
      <c r="H198" s="819">
        <f t="shared" ref="H198:H261" si="52">G198/B198</f>
        <v>0</v>
      </c>
      <c r="I198" s="553">
        <f t="shared" ref="I198:I261" si="53">F198-E198</f>
        <v>0</v>
      </c>
      <c r="J198" s="819">
        <f t="shared" ref="J198:J261" si="54">I198/E198</f>
        <v>0</v>
      </c>
    </row>
    <row r="199" spans="1:10" x14ac:dyDescent="0.2">
      <c r="A199" s="76" t="s">
        <v>124</v>
      </c>
      <c r="B199" s="88">
        <f>SUM(B200:B201)</f>
        <v>60000</v>
      </c>
      <c r="C199" s="88">
        <f>SUM(C200:C201)</f>
        <v>-16000</v>
      </c>
      <c r="D199" s="88">
        <f>SUM(D200:D201)</f>
        <v>-6000</v>
      </c>
      <c r="E199" s="88">
        <f t="shared" si="45"/>
        <v>38000</v>
      </c>
      <c r="F199" s="549">
        <f>SUM(F200:F201)</f>
        <v>61000</v>
      </c>
      <c r="G199" s="549">
        <f t="shared" si="51"/>
        <v>1000</v>
      </c>
      <c r="H199" s="815">
        <f t="shared" si="52"/>
        <v>1.6666666666666666E-2</v>
      </c>
      <c r="I199" s="549">
        <f t="shared" si="53"/>
        <v>23000</v>
      </c>
      <c r="J199" s="815">
        <f t="shared" si="54"/>
        <v>0.60526315789473684</v>
      </c>
    </row>
    <row r="200" spans="1:10" x14ac:dyDescent="0.2">
      <c r="A200" s="77" t="s">
        <v>162</v>
      </c>
      <c r="B200" s="90">
        <v>44000</v>
      </c>
      <c r="C200" s="90">
        <v>-16000</v>
      </c>
      <c r="D200" s="90">
        <v>-6000</v>
      </c>
      <c r="E200" s="90">
        <f t="shared" si="45"/>
        <v>22000</v>
      </c>
      <c r="F200" s="558">
        <v>44300</v>
      </c>
      <c r="G200" s="558">
        <f t="shared" si="51"/>
        <v>300</v>
      </c>
      <c r="H200" s="814">
        <f t="shared" si="52"/>
        <v>6.8181818181818179E-3</v>
      </c>
      <c r="I200" s="558">
        <f t="shared" si="53"/>
        <v>22300</v>
      </c>
      <c r="J200" s="814">
        <f t="shared" si="54"/>
        <v>1.0136363636363637</v>
      </c>
    </row>
    <row r="201" spans="1:10" x14ac:dyDescent="0.2">
      <c r="A201" s="77" t="s">
        <v>163</v>
      </c>
      <c r="B201" s="90">
        <v>16000</v>
      </c>
      <c r="C201" s="90"/>
      <c r="D201" s="90"/>
      <c r="E201" s="90">
        <f t="shared" si="45"/>
        <v>16000</v>
      </c>
      <c r="F201" s="558">
        <v>16700</v>
      </c>
      <c r="G201" s="558">
        <f t="shared" si="51"/>
        <v>700</v>
      </c>
      <c r="H201" s="814">
        <f t="shared" si="52"/>
        <v>4.3749999999999997E-2</v>
      </c>
      <c r="I201" s="558">
        <f t="shared" si="53"/>
        <v>700</v>
      </c>
      <c r="J201" s="814">
        <f t="shared" si="54"/>
        <v>4.3749999999999997E-2</v>
      </c>
    </row>
    <row r="202" spans="1:10" x14ac:dyDescent="0.2">
      <c r="A202" s="78"/>
      <c r="B202" s="87"/>
      <c r="C202" s="87"/>
      <c r="D202" s="87"/>
      <c r="E202" s="87">
        <f t="shared" si="45"/>
        <v>0</v>
      </c>
      <c r="F202" s="548"/>
      <c r="G202" s="548">
        <f t="shared" si="51"/>
        <v>0</v>
      </c>
      <c r="H202" s="818"/>
      <c r="I202" s="548">
        <f t="shared" si="53"/>
        <v>0</v>
      </c>
      <c r="J202" s="818"/>
    </row>
    <row r="203" spans="1:10" x14ac:dyDescent="0.2">
      <c r="A203" s="76" t="s">
        <v>772</v>
      </c>
      <c r="B203" s="269">
        <f t="shared" ref="B203" si="55">B204+B208+B211</f>
        <v>1511040</v>
      </c>
      <c r="C203" s="269">
        <f t="shared" ref="C203:D203" si="56">C204+C208+C211</f>
        <v>-40890</v>
      </c>
      <c r="D203" s="269">
        <f t="shared" si="56"/>
        <v>70160</v>
      </c>
      <c r="E203" s="269">
        <f t="shared" si="45"/>
        <v>1540310</v>
      </c>
      <c r="F203" s="576">
        <f t="shared" ref="F203" si="57">F204+F208+F211</f>
        <v>1621840</v>
      </c>
      <c r="G203" s="576">
        <f t="shared" si="51"/>
        <v>110800</v>
      </c>
      <c r="H203" s="757">
        <f t="shared" si="52"/>
        <v>7.3326980093180852E-2</v>
      </c>
      <c r="I203" s="576">
        <f t="shared" si="53"/>
        <v>81530</v>
      </c>
      <c r="J203" s="757">
        <f t="shared" si="54"/>
        <v>5.2930903519421417E-2</v>
      </c>
    </row>
    <row r="204" spans="1:10" x14ac:dyDescent="0.2">
      <c r="A204" s="76" t="s">
        <v>129</v>
      </c>
      <c r="B204" s="269">
        <f t="shared" ref="B204" si="58">SUM(B205:B207)</f>
        <v>443280</v>
      </c>
      <c r="C204" s="269">
        <f t="shared" ref="C204:D204" si="59">SUM(C205:C207)</f>
        <v>-33700</v>
      </c>
      <c r="D204" s="269">
        <f t="shared" si="59"/>
        <v>15000</v>
      </c>
      <c r="E204" s="269">
        <f t="shared" si="45"/>
        <v>424580</v>
      </c>
      <c r="F204" s="576">
        <f t="shared" ref="F204" si="60">SUM(F205:F207)</f>
        <v>460500</v>
      </c>
      <c r="G204" s="576">
        <f t="shared" si="51"/>
        <v>17220</v>
      </c>
      <c r="H204" s="757">
        <f t="shared" si="52"/>
        <v>3.8846778559826746E-2</v>
      </c>
      <c r="I204" s="576">
        <f t="shared" si="53"/>
        <v>35920</v>
      </c>
      <c r="J204" s="757">
        <f t="shared" si="54"/>
        <v>8.4601253002967641E-2</v>
      </c>
    </row>
    <row r="205" spans="1:10" x14ac:dyDescent="0.2">
      <c r="A205" s="77" t="s">
        <v>178</v>
      </c>
      <c r="B205" s="272">
        <v>333580</v>
      </c>
      <c r="C205" s="272">
        <f>-27000-29000</f>
        <v>-56000</v>
      </c>
      <c r="D205" s="272">
        <v>10000</v>
      </c>
      <c r="E205" s="272">
        <f t="shared" si="45"/>
        <v>287580</v>
      </c>
      <c r="F205" s="603">
        <v>340000</v>
      </c>
      <c r="G205" s="603">
        <f t="shared" si="51"/>
        <v>6420</v>
      </c>
      <c r="H205" s="529">
        <f t="shared" si="52"/>
        <v>1.9245758138977158E-2</v>
      </c>
      <c r="I205" s="603">
        <f t="shared" si="53"/>
        <v>52420</v>
      </c>
      <c r="J205" s="529">
        <f t="shared" si="54"/>
        <v>0.18227971347103414</v>
      </c>
    </row>
    <row r="206" spans="1:10" x14ac:dyDescent="0.2">
      <c r="A206" s="77" t="s">
        <v>285</v>
      </c>
      <c r="B206" s="272">
        <v>40500</v>
      </c>
      <c r="C206" s="272">
        <f>-500-5200</f>
        <v>-5700</v>
      </c>
      <c r="D206" s="272">
        <v>0</v>
      </c>
      <c r="E206" s="272">
        <f t="shared" si="45"/>
        <v>34800</v>
      </c>
      <c r="F206" s="603">
        <v>40500</v>
      </c>
      <c r="G206" s="603">
        <f t="shared" si="51"/>
        <v>0</v>
      </c>
      <c r="H206" s="529">
        <f t="shared" si="52"/>
        <v>0</v>
      </c>
      <c r="I206" s="603">
        <f t="shared" si="53"/>
        <v>5700</v>
      </c>
      <c r="J206" s="529">
        <f t="shared" si="54"/>
        <v>0.16379310344827586</v>
      </c>
    </row>
    <row r="207" spans="1:10" x14ac:dyDescent="0.2">
      <c r="A207" s="77" t="s">
        <v>284</v>
      </c>
      <c r="B207" s="272">
        <v>69200</v>
      </c>
      <c r="C207" s="272">
        <v>28000</v>
      </c>
      <c r="D207" s="272">
        <v>5000</v>
      </c>
      <c r="E207" s="272">
        <f t="shared" si="45"/>
        <v>102200</v>
      </c>
      <c r="F207" s="603">
        <v>80000</v>
      </c>
      <c r="G207" s="603">
        <f t="shared" si="51"/>
        <v>10800</v>
      </c>
      <c r="H207" s="529">
        <f t="shared" si="52"/>
        <v>0.15606936416184972</v>
      </c>
      <c r="I207" s="603">
        <f t="shared" si="53"/>
        <v>-22200</v>
      </c>
      <c r="J207" s="529">
        <f t="shared" si="54"/>
        <v>-0.2172211350293542</v>
      </c>
    </row>
    <row r="208" spans="1:10" x14ac:dyDescent="0.2">
      <c r="A208" s="76" t="s">
        <v>124</v>
      </c>
      <c r="B208" s="269">
        <f t="shared" ref="B208" si="61">B209+B210</f>
        <v>1066760</v>
      </c>
      <c r="C208" s="269">
        <f t="shared" ref="C208:D208" si="62">C209+C210</f>
        <v>-6690</v>
      </c>
      <c r="D208" s="269">
        <f t="shared" si="62"/>
        <v>55660</v>
      </c>
      <c r="E208" s="269">
        <f t="shared" si="45"/>
        <v>1115730</v>
      </c>
      <c r="F208" s="576">
        <f t="shared" ref="F208" si="63">F209+F210</f>
        <v>1160840</v>
      </c>
      <c r="G208" s="576">
        <f t="shared" si="51"/>
        <v>94080</v>
      </c>
      <c r="H208" s="757">
        <f t="shared" si="52"/>
        <v>8.8192283175222166E-2</v>
      </c>
      <c r="I208" s="576">
        <f t="shared" si="53"/>
        <v>45110</v>
      </c>
      <c r="J208" s="757">
        <f t="shared" si="54"/>
        <v>4.0430928629686391E-2</v>
      </c>
    </row>
    <row r="209" spans="1:10" x14ac:dyDescent="0.2">
      <c r="A209" s="77" t="s">
        <v>162</v>
      </c>
      <c r="B209" s="272">
        <v>1057180</v>
      </c>
      <c r="C209" s="272">
        <v>-6390</v>
      </c>
      <c r="D209" s="272">
        <v>55340</v>
      </c>
      <c r="E209" s="272">
        <f t="shared" ref="E209:E243" si="64">B209+C209+D209</f>
        <v>1106130</v>
      </c>
      <c r="F209" s="603">
        <v>1151260</v>
      </c>
      <c r="G209" s="603">
        <f t="shared" si="51"/>
        <v>94080</v>
      </c>
      <c r="H209" s="529">
        <f t="shared" si="52"/>
        <v>8.89914678673452E-2</v>
      </c>
      <c r="I209" s="603">
        <f t="shared" si="53"/>
        <v>45130</v>
      </c>
      <c r="J209" s="529">
        <f t="shared" si="54"/>
        <v>4.0799905978501624E-2</v>
      </c>
    </row>
    <row r="210" spans="1:10" x14ac:dyDescent="0.2">
      <c r="A210" s="77" t="s">
        <v>163</v>
      </c>
      <c r="B210" s="272">
        <v>9580</v>
      </c>
      <c r="C210" s="272">
        <v>-300</v>
      </c>
      <c r="D210" s="272">
        <v>320</v>
      </c>
      <c r="E210" s="272">
        <f t="shared" si="64"/>
        <v>9600</v>
      </c>
      <c r="F210" s="603">
        <v>9580</v>
      </c>
      <c r="G210" s="603">
        <f t="shared" si="51"/>
        <v>0</v>
      </c>
      <c r="H210" s="529">
        <f t="shared" si="52"/>
        <v>0</v>
      </c>
      <c r="I210" s="603">
        <f t="shared" si="53"/>
        <v>-20</v>
      </c>
      <c r="J210" s="529">
        <f t="shared" si="54"/>
        <v>-2.0833333333333333E-3</v>
      </c>
    </row>
    <row r="211" spans="1:10" x14ac:dyDescent="0.2">
      <c r="A211" s="76" t="s">
        <v>125</v>
      </c>
      <c r="B211" s="269">
        <f t="shared" ref="B211" si="65">B212</f>
        <v>1000</v>
      </c>
      <c r="C211" s="269">
        <f t="shared" ref="C211:D211" si="66">C212</f>
        <v>-500</v>
      </c>
      <c r="D211" s="269">
        <f t="shared" si="66"/>
        <v>-500</v>
      </c>
      <c r="E211" s="269">
        <f t="shared" si="64"/>
        <v>0</v>
      </c>
      <c r="F211" s="576">
        <f t="shared" ref="F211" si="67">F212</f>
        <v>500</v>
      </c>
      <c r="G211" s="576">
        <f t="shared" si="51"/>
        <v>-500</v>
      </c>
      <c r="H211" s="757">
        <f t="shared" si="52"/>
        <v>-0.5</v>
      </c>
      <c r="I211" s="576">
        <f t="shared" si="53"/>
        <v>500</v>
      </c>
      <c r="J211" s="757"/>
    </row>
    <row r="212" spans="1:10" x14ac:dyDescent="0.2">
      <c r="A212" s="79" t="s">
        <v>177</v>
      </c>
      <c r="B212" s="271">
        <v>1000</v>
      </c>
      <c r="C212" s="271">
        <v>-500</v>
      </c>
      <c r="D212" s="271">
        <v>-500</v>
      </c>
      <c r="E212" s="271">
        <f t="shared" si="64"/>
        <v>0</v>
      </c>
      <c r="F212" s="557">
        <v>500</v>
      </c>
      <c r="G212" s="557">
        <f t="shared" si="51"/>
        <v>-500</v>
      </c>
      <c r="H212" s="823">
        <f t="shared" si="52"/>
        <v>-0.5</v>
      </c>
      <c r="I212" s="557">
        <f t="shared" si="53"/>
        <v>500</v>
      </c>
      <c r="J212" s="823"/>
    </row>
    <row r="213" spans="1:10" x14ac:dyDescent="0.2">
      <c r="A213" s="76"/>
      <c r="B213" s="88"/>
      <c r="C213" s="88"/>
      <c r="D213" s="88"/>
      <c r="E213" s="88">
        <f t="shared" si="64"/>
        <v>0</v>
      </c>
      <c r="F213" s="88"/>
      <c r="G213" s="88">
        <f t="shared" si="51"/>
        <v>0</v>
      </c>
      <c r="H213" s="526"/>
      <c r="I213" s="88">
        <f t="shared" si="53"/>
        <v>0</v>
      </c>
      <c r="J213" s="526"/>
    </row>
    <row r="214" spans="1:10" x14ac:dyDescent="0.2">
      <c r="A214" s="76" t="s">
        <v>773</v>
      </c>
      <c r="B214" s="88">
        <f>B215+B219+B222+B224</f>
        <v>1907185</v>
      </c>
      <c r="C214" s="88">
        <f>C215+C219+C222+C224</f>
        <v>-303000</v>
      </c>
      <c r="D214" s="88"/>
      <c r="E214" s="88">
        <f t="shared" si="64"/>
        <v>1604185</v>
      </c>
      <c r="F214" s="549">
        <f>F215+F219+F222+F224</f>
        <v>1943280</v>
      </c>
      <c r="G214" s="549">
        <f t="shared" si="51"/>
        <v>36095</v>
      </c>
      <c r="H214" s="815">
        <f t="shared" si="52"/>
        <v>1.8925799017924322E-2</v>
      </c>
      <c r="I214" s="549">
        <f t="shared" si="53"/>
        <v>339095</v>
      </c>
      <c r="J214" s="815">
        <f t="shared" si="54"/>
        <v>0.21138148031554965</v>
      </c>
    </row>
    <row r="215" spans="1:10" x14ac:dyDescent="0.2">
      <c r="A215" s="76" t="s">
        <v>129</v>
      </c>
      <c r="B215" s="88">
        <f>B216+B217+B218</f>
        <v>1564000</v>
      </c>
      <c r="C215" s="88">
        <f>C216+C217+C218</f>
        <v>-293000</v>
      </c>
      <c r="D215" s="88"/>
      <c r="E215" s="88">
        <f t="shared" si="64"/>
        <v>1271000</v>
      </c>
      <c r="F215" s="549">
        <f>F216+F217+F218</f>
        <v>1600000</v>
      </c>
      <c r="G215" s="549">
        <f t="shared" si="51"/>
        <v>36000</v>
      </c>
      <c r="H215" s="815">
        <f t="shared" si="52"/>
        <v>2.3017902813299233E-2</v>
      </c>
      <c r="I215" s="549">
        <f t="shared" si="53"/>
        <v>329000</v>
      </c>
      <c r="J215" s="815">
        <f t="shared" si="54"/>
        <v>0.25885129819040126</v>
      </c>
    </row>
    <row r="216" spans="1:10" x14ac:dyDescent="0.2">
      <c r="A216" s="77" t="s">
        <v>178</v>
      </c>
      <c r="B216" s="90">
        <v>1504000</v>
      </c>
      <c r="C216" s="90">
        <v>-281000</v>
      </c>
      <c r="D216" s="90"/>
      <c r="E216" s="90">
        <v>1223000</v>
      </c>
      <c r="F216" s="558">
        <v>1540000</v>
      </c>
      <c r="G216" s="558">
        <f t="shared" si="51"/>
        <v>36000</v>
      </c>
      <c r="H216" s="814">
        <f t="shared" si="52"/>
        <v>2.3936170212765957E-2</v>
      </c>
      <c r="I216" s="558">
        <f t="shared" si="53"/>
        <v>317000</v>
      </c>
      <c r="J216" s="814">
        <f t="shared" si="54"/>
        <v>0.25919869174161897</v>
      </c>
    </row>
    <row r="217" spans="1:10" x14ac:dyDescent="0.2">
      <c r="A217" s="77" t="s">
        <v>285</v>
      </c>
      <c r="B217" s="90">
        <v>29000</v>
      </c>
      <c r="C217" s="90">
        <v>-5000</v>
      </c>
      <c r="D217" s="90"/>
      <c r="E217" s="90">
        <v>24000</v>
      </c>
      <c r="F217" s="558">
        <v>29000</v>
      </c>
      <c r="G217" s="558">
        <f t="shared" si="51"/>
        <v>0</v>
      </c>
      <c r="H217" s="814">
        <f t="shared" si="52"/>
        <v>0</v>
      </c>
      <c r="I217" s="558">
        <f t="shared" si="53"/>
        <v>5000</v>
      </c>
      <c r="J217" s="814">
        <f t="shared" si="54"/>
        <v>0.20833333333333334</v>
      </c>
    </row>
    <row r="218" spans="1:10" x14ac:dyDescent="0.2">
      <c r="A218" s="77" t="s">
        <v>284</v>
      </c>
      <c r="B218" s="90">
        <v>31000</v>
      </c>
      <c r="C218" s="90">
        <v>-7000</v>
      </c>
      <c r="D218" s="90"/>
      <c r="E218" s="90">
        <v>24000</v>
      </c>
      <c r="F218" s="558">
        <v>31000</v>
      </c>
      <c r="G218" s="558">
        <f t="shared" si="51"/>
        <v>0</v>
      </c>
      <c r="H218" s="814">
        <f t="shared" si="52"/>
        <v>0</v>
      </c>
      <c r="I218" s="558">
        <f t="shared" si="53"/>
        <v>7000</v>
      </c>
      <c r="J218" s="814">
        <f t="shared" si="54"/>
        <v>0.29166666666666669</v>
      </c>
    </row>
    <row r="219" spans="1:10" x14ac:dyDescent="0.2">
      <c r="A219" s="76" t="s">
        <v>124</v>
      </c>
      <c r="B219" s="88">
        <f>B220+B221</f>
        <v>306585</v>
      </c>
      <c r="C219" s="88">
        <f>C220+C221</f>
        <v>-10000</v>
      </c>
      <c r="D219" s="88"/>
      <c r="E219" s="88">
        <f t="shared" si="64"/>
        <v>296585</v>
      </c>
      <c r="F219" s="549">
        <f>F220+F221</f>
        <v>306680</v>
      </c>
      <c r="G219" s="549">
        <f t="shared" si="51"/>
        <v>95</v>
      </c>
      <c r="H219" s="815">
        <f t="shared" si="52"/>
        <v>3.0986512712624555E-4</v>
      </c>
      <c r="I219" s="549">
        <f t="shared" si="53"/>
        <v>10095</v>
      </c>
      <c r="J219" s="815">
        <f t="shared" si="54"/>
        <v>3.4037459750155943E-2</v>
      </c>
    </row>
    <row r="220" spans="1:10" x14ac:dyDescent="0.2">
      <c r="A220" s="77" t="s">
        <v>162</v>
      </c>
      <c r="B220" s="90">
        <v>225993</v>
      </c>
      <c r="C220" s="90">
        <v>-10000</v>
      </c>
      <c r="D220" s="90"/>
      <c r="E220" s="90">
        <v>215993</v>
      </c>
      <c r="F220" s="558">
        <v>228680</v>
      </c>
      <c r="G220" s="558">
        <f t="shared" si="51"/>
        <v>2687</v>
      </c>
      <c r="H220" s="814">
        <f t="shared" si="52"/>
        <v>1.1889748797529126E-2</v>
      </c>
      <c r="I220" s="558">
        <f t="shared" si="53"/>
        <v>12687</v>
      </c>
      <c r="J220" s="814">
        <f t="shared" si="54"/>
        <v>5.8738014657882434E-2</v>
      </c>
    </row>
    <row r="221" spans="1:10" x14ac:dyDescent="0.2">
      <c r="A221" s="77" t="s">
        <v>163</v>
      </c>
      <c r="B221" s="90">
        <v>80592</v>
      </c>
      <c r="C221" s="90">
        <v>0</v>
      </c>
      <c r="D221" s="90"/>
      <c r="E221" s="90">
        <v>80592</v>
      </c>
      <c r="F221" s="558">
        <v>78000</v>
      </c>
      <c r="G221" s="558">
        <f t="shared" si="51"/>
        <v>-2592</v>
      </c>
      <c r="H221" s="814">
        <f t="shared" si="52"/>
        <v>-3.216200119118523E-2</v>
      </c>
      <c r="I221" s="558">
        <f t="shared" si="53"/>
        <v>-2592</v>
      </c>
      <c r="J221" s="814">
        <f t="shared" si="54"/>
        <v>-3.216200119118523E-2</v>
      </c>
    </row>
    <row r="222" spans="1:10" x14ac:dyDescent="0.2">
      <c r="A222" s="76" t="s">
        <v>131</v>
      </c>
      <c r="B222" s="88">
        <f t="shared" ref="B222" si="68">B223</f>
        <v>30000</v>
      </c>
      <c r="C222" s="88">
        <f>C223</f>
        <v>0</v>
      </c>
      <c r="D222" s="88"/>
      <c r="E222" s="88">
        <f t="shared" si="64"/>
        <v>30000</v>
      </c>
      <c r="F222" s="549">
        <f t="shared" ref="F222" si="69">F223</f>
        <v>30000</v>
      </c>
      <c r="G222" s="549">
        <f t="shared" si="51"/>
        <v>0</v>
      </c>
      <c r="H222" s="815">
        <f t="shared" si="52"/>
        <v>0</v>
      </c>
      <c r="I222" s="549">
        <f t="shared" si="53"/>
        <v>0</v>
      </c>
      <c r="J222" s="815">
        <f t="shared" si="54"/>
        <v>0</v>
      </c>
    </row>
    <row r="223" spans="1:10" x14ac:dyDescent="0.2">
      <c r="A223" s="77" t="s">
        <v>536</v>
      </c>
      <c r="B223" s="90">
        <v>30000</v>
      </c>
      <c r="C223" s="90">
        <v>0</v>
      </c>
      <c r="D223" s="90"/>
      <c r="E223" s="90">
        <v>30000</v>
      </c>
      <c r="F223" s="558">
        <v>30000</v>
      </c>
      <c r="G223" s="558">
        <f t="shared" si="51"/>
        <v>0</v>
      </c>
      <c r="H223" s="814">
        <f t="shared" si="52"/>
        <v>0</v>
      </c>
      <c r="I223" s="558">
        <f t="shared" si="53"/>
        <v>0</v>
      </c>
      <c r="J223" s="814">
        <f t="shared" si="54"/>
        <v>0</v>
      </c>
    </row>
    <row r="224" spans="1:10" x14ac:dyDescent="0.2">
      <c r="A224" s="76" t="s">
        <v>125</v>
      </c>
      <c r="B224" s="88">
        <f t="shared" ref="B224" si="70">B225</f>
        <v>6600</v>
      </c>
      <c r="C224" s="88">
        <f>C225</f>
        <v>0</v>
      </c>
      <c r="D224" s="88"/>
      <c r="E224" s="88">
        <f t="shared" si="64"/>
        <v>6600</v>
      </c>
      <c r="F224" s="549">
        <f t="shared" ref="F224" si="71">F225</f>
        <v>6600</v>
      </c>
      <c r="G224" s="549">
        <f t="shared" si="51"/>
        <v>0</v>
      </c>
      <c r="H224" s="815">
        <f t="shared" si="52"/>
        <v>0</v>
      </c>
      <c r="I224" s="549">
        <f t="shared" si="53"/>
        <v>0</v>
      </c>
      <c r="J224" s="815">
        <f t="shared" si="54"/>
        <v>0</v>
      </c>
    </row>
    <row r="225" spans="1:10" x14ac:dyDescent="0.2">
      <c r="A225" s="79" t="s">
        <v>177</v>
      </c>
      <c r="B225" s="89">
        <v>6600</v>
      </c>
      <c r="C225" s="89">
        <v>0</v>
      </c>
      <c r="D225" s="89"/>
      <c r="E225" s="89">
        <v>6600</v>
      </c>
      <c r="F225" s="553">
        <v>6600</v>
      </c>
      <c r="G225" s="553">
        <f t="shared" si="51"/>
        <v>0</v>
      </c>
      <c r="H225" s="819">
        <f t="shared" si="52"/>
        <v>0</v>
      </c>
      <c r="I225" s="553">
        <f t="shared" si="53"/>
        <v>0</v>
      </c>
      <c r="J225" s="819">
        <f t="shared" si="54"/>
        <v>0</v>
      </c>
    </row>
    <row r="226" spans="1:10" x14ac:dyDescent="0.2">
      <c r="A226" s="76"/>
      <c r="B226" s="88"/>
      <c r="C226" s="88"/>
      <c r="D226" s="88"/>
      <c r="E226" s="88">
        <v>0</v>
      </c>
      <c r="F226" s="88"/>
      <c r="G226" s="88">
        <f t="shared" si="51"/>
        <v>0</v>
      </c>
      <c r="H226" s="526"/>
      <c r="I226" s="88">
        <f t="shared" si="53"/>
        <v>0</v>
      </c>
      <c r="J226" s="526"/>
    </row>
    <row r="227" spans="1:10" x14ac:dyDescent="0.2">
      <c r="A227" s="76" t="s">
        <v>774</v>
      </c>
      <c r="B227" s="269">
        <f>B228+B232+B235</f>
        <v>93520</v>
      </c>
      <c r="C227" s="269">
        <f>C228+C232+C235</f>
        <v>-3613</v>
      </c>
      <c r="D227" s="269">
        <f>D228+D232+D235</f>
        <v>18510</v>
      </c>
      <c r="E227" s="269">
        <f t="shared" si="64"/>
        <v>108417</v>
      </c>
      <c r="F227" s="576">
        <f>F228+F232+F235</f>
        <v>93640</v>
      </c>
      <c r="G227" s="576">
        <f t="shared" si="51"/>
        <v>120</v>
      </c>
      <c r="H227" s="757">
        <f t="shared" si="52"/>
        <v>1.2831479897348161E-3</v>
      </c>
      <c r="I227" s="576">
        <f t="shared" si="53"/>
        <v>-14777</v>
      </c>
      <c r="J227" s="757">
        <f t="shared" si="54"/>
        <v>-0.13629781307359548</v>
      </c>
    </row>
    <row r="228" spans="1:10" x14ac:dyDescent="0.2">
      <c r="A228" s="76" t="s">
        <v>129</v>
      </c>
      <c r="B228" s="269">
        <f t="shared" ref="B228" si="72">SUM(B229:B231)</f>
        <v>79771</v>
      </c>
      <c r="C228" s="269">
        <f t="shared" ref="C228:D228" si="73">SUM(C229:C231)</f>
        <v>0</v>
      </c>
      <c r="D228" s="269">
        <f t="shared" si="73"/>
        <v>20000</v>
      </c>
      <c r="E228" s="269">
        <f t="shared" si="64"/>
        <v>99771</v>
      </c>
      <c r="F228" s="576">
        <f t="shared" ref="F228" si="74">SUM(F229:F231)</f>
        <v>79770</v>
      </c>
      <c r="G228" s="576">
        <f t="shared" si="51"/>
        <v>-1</v>
      </c>
      <c r="H228" s="757">
        <f t="shared" si="52"/>
        <v>-1.2535883967857994E-5</v>
      </c>
      <c r="I228" s="576">
        <f t="shared" si="53"/>
        <v>-20001</v>
      </c>
      <c r="J228" s="757">
        <f t="shared" si="54"/>
        <v>-0.20046907417987192</v>
      </c>
    </row>
    <row r="229" spans="1:10" x14ac:dyDescent="0.2">
      <c r="A229" s="77" t="s">
        <v>178</v>
      </c>
      <c r="B229" s="272">
        <v>74421</v>
      </c>
      <c r="C229" s="272"/>
      <c r="D229" s="272">
        <v>20000</v>
      </c>
      <c r="E229" s="272">
        <f t="shared" si="64"/>
        <v>94421</v>
      </c>
      <c r="F229" s="603">
        <v>74420</v>
      </c>
      <c r="G229" s="603">
        <f t="shared" si="51"/>
        <v>-1</v>
      </c>
      <c r="H229" s="529">
        <f t="shared" si="52"/>
        <v>-1.3437067494390024E-5</v>
      </c>
      <c r="I229" s="603">
        <f t="shared" si="53"/>
        <v>-20001</v>
      </c>
      <c r="J229" s="529">
        <f t="shared" si="54"/>
        <v>-0.21182787727306426</v>
      </c>
    </row>
    <row r="230" spans="1:10" x14ac:dyDescent="0.2">
      <c r="A230" s="77" t="s">
        <v>285</v>
      </c>
      <c r="B230" s="90">
        <v>660</v>
      </c>
      <c r="C230" s="90"/>
      <c r="D230" s="90">
        <v>1340</v>
      </c>
      <c r="E230" s="90">
        <f t="shared" si="64"/>
        <v>2000</v>
      </c>
      <c r="F230" s="558">
        <v>660</v>
      </c>
      <c r="G230" s="558">
        <f t="shared" si="51"/>
        <v>0</v>
      </c>
      <c r="H230" s="814">
        <f t="shared" si="52"/>
        <v>0</v>
      </c>
      <c r="I230" s="558">
        <f t="shared" si="53"/>
        <v>-1340</v>
      </c>
      <c r="J230" s="814">
        <f t="shared" si="54"/>
        <v>-0.67</v>
      </c>
    </row>
    <row r="231" spans="1:10" x14ac:dyDescent="0.2">
      <c r="A231" s="77" t="s">
        <v>284</v>
      </c>
      <c r="B231" s="90">
        <v>4690</v>
      </c>
      <c r="C231" s="90"/>
      <c r="D231" s="90">
        <v>-1340</v>
      </c>
      <c r="E231" s="90">
        <f t="shared" si="64"/>
        <v>3350</v>
      </c>
      <c r="F231" s="558">
        <v>4690</v>
      </c>
      <c r="G231" s="558">
        <f t="shared" si="51"/>
        <v>0</v>
      </c>
      <c r="H231" s="814">
        <f t="shared" si="52"/>
        <v>0</v>
      </c>
      <c r="I231" s="558">
        <f t="shared" si="53"/>
        <v>1340</v>
      </c>
      <c r="J231" s="814">
        <f t="shared" si="54"/>
        <v>0.4</v>
      </c>
    </row>
    <row r="232" spans="1:10" x14ac:dyDescent="0.2">
      <c r="A232" s="76" t="s">
        <v>132</v>
      </c>
      <c r="B232" s="269">
        <f t="shared" ref="B232" si="75">B233+B234</f>
        <v>1280</v>
      </c>
      <c r="C232" s="269">
        <f t="shared" ref="C232" si="76">C233+C234</f>
        <v>0</v>
      </c>
      <c r="D232" s="269"/>
      <c r="E232" s="269">
        <f t="shared" si="64"/>
        <v>1280</v>
      </c>
      <c r="F232" s="576">
        <f t="shared" ref="F232" si="77">F233+F234</f>
        <v>1235</v>
      </c>
      <c r="G232" s="576">
        <f t="shared" si="51"/>
        <v>-45</v>
      </c>
      <c r="H232" s="757">
        <f t="shared" si="52"/>
        <v>-3.515625E-2</v>
      </c>
      <c r="I232" s="576">
        <f t="shared" si="53"/>
        <v>-45</v>
      </c>
      <c r="J232" s="757">
        <f t="shared" si="54"/>
        <v>-3.515625E-2</v>
      </c>
    </row>
    <row r="233" spans="1:10" x14ac:dyDescent="0.2">
      <c r="A233" s="77" t="s">
        <v>179</v>
      </c>
      <c r="B233" s="272">
        <v>470</v>
      </c>
      <c r="C233" s="272"/>
      <c r="D233" s="272"/>
      <c r="E233" s="272">
        <f t="shared" si="64"/>
        <v>470</v>
      </c>
      <c r="F233" s="603">
        <v>470</v>
      </c>
      <c r="G233" s="603">
        <f t="shared" si="51"/>
        <v>0</v>
      </c>
      <c r="H233" s="529">
        <f t="shared" si="52"/>
        <v>0</v>
      </c>
      <c r="I233" s="603">
        <f t="shared" si="53"/>
        <v>0</v>
      </c>
      <c r="J233" s="529">
        <f t="shared" si="54"/>
        <v>0</v>
      </c>
    </row>
    <row r="234" spans="1:10" x14ac:dyDescent="0.2">
      <c r="A234" s="77" t="s">
        <v>163</v>
      </c>
      <c r="B234" s="272">
        <v>810</v>
      </c>
      <c r="C234" s="272"/>
      <c r="D234" s="272"/>
      <c r="E234" s="272">
        <f t="shared" si="64"/>
        <v>810</v>
      </c>
      <c r="F234" s="603">
        <v>765</v>
      </c>
      <c r="G234" s="603">
        <f t="shared" si="51"/>
        <v>-45</v>
      </c>
      <c r="H234" s="529">
        <f t="shared" si="52"/>
        <v>-5.5555555555555552E-2</v>
      </c>
      <c r="I234" s="603">
        <f t="shared" si="53"/>
        <v>-45</v>
      </c>
      <c r="J234" s="529">
        <f t="shared" si="54"/>
        <v>-5.5555555555555552E-2</v>
      </c>
    </row>
    <row r="235" spans="1:10" x14ac:dyDescent="0.2">
      <c r="A235" s="76" t="s">
        <v>124</v>
      </c>
      <c r="B235" s="269">
        <f t="shared" ref="B235" si="78">B236</f>
        <v>12469</v>
      </c>
      <c r="C235" s="269">
        <f t="shared" ref="C235:D235" si="79">C236</f>
        <v>-3613</v>
      </c>
      <c r="D235" s="269">
        <f t="shared" si="79"/>
        <v>-1490</v>
      </c>
      <c r="E235" s="269">
        <f t="shared" si="64"/>
        <v>7366</v>
      </c>
      <c r="F235" s="576">
        <f t="shared" ref="F235" si="80">F236</f>
        <v>12635</v>
      </c>
      <c r="G235" s="576">
        <f t="shared" si="51"/>
        <v>166</v>
      </c>
      <c r="H235" s="757">
        <f t="shared" si="52"/>
        <v>1.3313016280375331E-2</v>
      </c>
      <c r="I235" s="576">
        <f t="shared" si="53"/>
        <v>5269</v>
      </c>
      <c r="J235" s="757">
        <f t="shared" si="54"/>
        <v>0.71531360304099922</v>
      </c>
    </row>
    <row r="236" spans="1:10" x14ac:dyDescent="0.2">
      <c r="A236" s="77" t="s">
        <v>162</v>
      </c>
      <c r="B236" s="272">
        <v>12469</v>
      </c>
      <c r="C236" s="272">
        <v>-3613</v>
      </c>
      <c r="D236" s="272">
        <v>-1490</v>
      </c>
      <c r="E236" s="272">
        <f t="shared" si="64"/>
        <v>7366</v>
      </c>
      <c r="F236" s="603">
        <v>12635</v>
      </c>
      <c r="G236" s="603">
        <f t="shared" si="51"/>
        <v>166</v>
      </c>
      <c r="H236" s="529">
        <f t="shared" si="52"/>
        <v>1.3313016280375331E-2</v>
      </c>
      <c r="I236" s="603">
        <f t="shared" si="53"/>
        <v>5269</v>
      </c>
      <c r="J236" s="529">
        <f t="shared" si="54"/>
        <v>0.71531360304099922</v>
      </c>
    </row>
    <row r="237" spans="1:10" x14ac:dyDescent="0.2">
      <c r="A237" s="123"/>
      <c r="B237" s="125"/>
      <c r="C237" s="125"/>
      <c r="D237" s="125"/>
      <c r="E237" s="125">
        <f t="shared" si="64"/>
        <v>0</v>
      </c>
      <c r="F237" s="125"/>
      <c r="G237" s="125">
        <f t="shared" si="51"/>
        <v>0</v>
      </c>
      <c r="H237" s="532"/>
      <c r="I237" s="125">
        <f t="shared" si="53"/>
        <v>0</v>
      </c>
      <c r="J237" s="532"/>
    </row>
    <row r="238" spans="1:10" x14ac:dyDescent="0.2">
      <c r="A238" s="81" t="s">
        <v>775</v>
      </c>
      <c r="B238" s="91">
        <f>B239+B243+B246</f>
        <v>961421</v>
      </c>
      <c r="C238" s="91">
        <f>C239+C243+C246</f>
        <v>-25931</v>
      </c>
      <c r="D238" s="91">
        <f>D239+D243+D246</f>
        <v>-200750</v>
      </c>
      <c r="E238" s="91">
        <f t="shared" si="64"/>
        <v>734740</v>
      </c>
      <c r="F238" s="560">
        <f>F239+F243+F246</f>
        <v>951690</v>
      </c>
      <c r="G238" s="560">
        <f t="shared" si="51"/>
        <v>-9731</v>
      </c>
      <c r="H238" s="820">
        <f t="shared" si="52"/>
        <v>-1.0121476439561856E-2</v>
      </c>
      <c r="I238" s="560">
        <f t="shared" si="53"/>
        <v>216950</v>
      </c>
      <c r="J238" s="820">
        <f t="shared" si="54"/>
        <v>0.29527451887742601</v>
      </c>
    </row>
    <row r="239" spans="1:10" x14ac:dyDescent="0.2">
      <c r="A239" s="76" t="s">
        <v>129</v>
      </c>
      <c r="B239" s="88">
        <f>B240+B241+B242</f>
        <v>864000</v>
      </c>
      <c r="C239" s="88">
        <f>C240+C241+C242</f>
        <v>0</v>
      </c>
      <c r="D239" s="88">
        <f>D240+D241+D242</f>
        <v>-194000</v>
      </c>
      <c r="E239" s="88">
        <f t="shared" si="64"/>
        <v>670000</v>
      </c>
      <c r="F239" s="549">
        <f>F240+F241+F242</f>
        <v>864000</v>
      </c>
      <c r="G239" s="549">
        <f t="shared" si="51"/>
        <v>0</v>
      </c>
      <c r="H239" s="815">
        <f t="shared" si="52"/>
        <v>0</v>
      </c>
      <c r="I239" s="549">
        <f t="shared" si="53"/>
        <v>194000</v>
      </c>
      <c r="J239" s="815">
        <f t="shared" si="54"/>
        <v>0.28955223880597014</v>
      </c>
    </row>
    <row r="240" spans="1:10" x14ac:dyDescent="0.2">
      <c r="A240" s="77" t="s">
        <v>178</v>
      </c>
      <c r="B240" s="90">
        <v>857000</v>
      </c>
      <c r="C240" s="90">
        <v>0</v>
      </c>
      <c r="D240" s="90">
        <v>-194000</v>
      </c>
      <c r="E240" s="90">
        <v>663000</v>
      </c>
      <c r="F240" s="558">
        <v>857000</v>
      </c>
      <c r="G240" s="558">
        <f t="shared" si="51"/>
        <v>0</v>
      </c>
      <c r="H240" s="814">
        <f t="shared" si="52"/>
        <v>0</v>
      </c>
      <c r="I240" s="558">
        <f t="shared" si="53"/>
        <v>194000</v>
      </c>
      <c r="J240" s="814">
        <f t="shared" si="54"/>
        <v>0.29260935143288086</v>
      </c>
    </row>
    <row r="241" spans="1:10" x14ac:dyDescent="0.2">
      <c r="A241" s="77" t="s">
        <v>285</v>
      </c>
      <c r="B241" s="90">
        <v>4500</v>
      </c>
      <c r="C241" s="90">
        <v>0</v>
      </c>
      <c r="D241" s="90"/>
      <c r="E241" s="90">
        <v>4500</v>
      </c>
      <c r="F241" s="558">
        <v>4500</v>
      </c>
      <c r="G241" s="558">
        <f t="shared" si="51"/>
        <v>0</v>
      </c>
      <c r="H241" s="814">
        <f t="shared" si="52"/>
        <v>0</v>
      </c>
      <c r="I241" s="558">
        <f t="shared" si="53"/>
        <v>0</v>
      </c>
      <c r="J241" s="814">
        <f t="shared" si="54"/>
        <v>0</v>
      </c>
    </row>
    <row r="242" spans="1:10" x14ac:dyDescent="0.2">
      <c r="A242" s="77" t="s">
        <v>284</v>
      </c>
      <c r="B242" s="90">
        <v>2500</v>
      </c>
      <c r="C242" s="90">
        <v>0</v>
      </c>
      <c r="D242" s="90"/>
      <c r="E242" s="90">
        <v>2500</v>
      </c>
      <c r="F242" s="558">
        <v>2500</v>
      </c>
      <c r="G242" s="558">
        <f t="shared" si="51"/>
        <v>0</v>
      </c>
      <c r="H242" s="814">
        <f t="shared" si="52"/>
        <v>0</v>
      </c>
      <c r="I242" s="558">
        <f t="shared" si="53"/>
        <v>0</v>
      </c>
      <c r="J242" s="814">
        <f t="shared" si="54"/>
        <v>0</v>
      </c>
    </row>
    <row r="243" spans="1:10" x14ac:dyDescent="0.2">
      <c r="A243" s="76" t="s">
        <v>124</v>
      </c>
      <c r="B243" s="88">
        <f>B244+B245</f>
        <v>96671</v>
      </c>
      <c r="C243" s="88">
        <f>C244+C245</f>
        <v>-25931</v>
      </c>
      <c r="D243" s="88">
        <f>D244+D245</f>
        <v>-6000</v>
      </c>
      <c r="E243" s="88">
        <f t="shared" si="64"/>
        <v>64740</v>
      </c>
      <c r="F243" s="549">
        <f>F244+F245</f>
        <v>86940</v>
      </c>
      <c r="G243" s="549">
        <f t="shared" si="51"/>
        <v>-9731</v>
      </c>
      <c r="H243" s="815">
        <f t="shared" si="52"/>
        <v>-0.10066100485150666</v>
      </c>
      <c r="I243" s="549">
        <f t="shared" si="53"/>
        <v>22200</v>
      </c>
      <c r="J243" s="815">
        <f t="shared" si="54"/>
        <v>0.34291010194624655</v>
      </c>
    </row>
    <row r="244" spans="1:10" x14ac:dyDescent="0.2">
      <c r="A244" s="77" t="s">
        <v>162</v>
      </c>
      <c r="B244" s="89">
        <v>74303</v>
      </c>
      <c r="C244" s="89">
        <v>-23839</v>
      </c>
      <c r="D244" s="89">
        <v>-6000</v>
      </c>
      <c r="E244" s="89">
        <v>44464</v>
      </c>
      <c r="F244" s="553">
        <v>66660</v>
      </c>
      <c r="G244" s="553">
        <f t="shared" si="51"/>
        <v>-7643</v>
      </c>
      <c r="H244" s="819">
        <f t="shared" si="52"/>
        <v>-0.10286260312504206</v>
      </c>
      <c r="I244" s="553">
        <f t="shared" si="53"/>
        <v>22196</v>
      </c>
      <c r="J244" s="819">
        <f t="shared" si="54"/>
        <v>0.49919035624325298</v>
      </c>
    </row>
    <row r="245" spans="1:10" x14ac:dyDescent="0.2">
      <c r="A245" s="77" t="s">
        <v>163</v>
      </c>
      <c r="B245" s="89">
        <v>22368</v>
      </c>
      <c r="C245" s="89">
        <v>-2092</v>
      </c>
      <c r="D245" s="89"/>
      <c r="E245" s="89">
        <v>20276</v>
      </c>
      <c r="F245" s="553">
        <v>20280</v>
      </c>
      <c r="G245" s="553">
        <f t="shared" si="51"/>
        <v>-2088</v>
      </c>
      <c r="H245" s="819">
        <f t="shared" si="52"/>
        <v>-9.334763948497854E-2</v>
      </c>
      <c r="I245" s="553">
        <f t="shared" si="53"/>
        <v>4</v>
      </c>
      <c r="J245" s="819">
        <f t="shared" si="54"/>
        <v>1.9727756954034326E-4</v>
      </c>
    </row>
    <row r="246" spans="1:10" x14ac:dyDescent="0.2">
      <c r="A246" s="124" t="s">
        <v>125</v>
      </c>
      <c r="B246" s="88">
        <v>750</v>
      </c>
      <c r="C246" s="88">
        <v>0</v>
      </c>
      <c r="D246" s="88">
        <v>-750</v>
      </c>
      <c r="E246" s="88">
        <v>0</v>
      </c>
      <c r="F246" s="549">
        <v>750</v>
      </c>
      <c r="G246" s="549">
        <f t="shared" si="51"/>
        <v>0</v>
      </c>
      <c r="H246" s="815">
        <f t="shared" si="52"/>
        <v>0</v>
      </c>
      <c r="I246" s="549">
        <f t="shared" si="53"/>
        <v>750</v>
      </c>
      <c r="J246" s="815"/>
    </row>
    <row r="247" spans="1:10" x14ac:dyDescent="0.2">
      <c r="A247" s="79" t="s">
        <v>177</v>
      </c>
      <c r="B247" s="89">
        <v>750</v>
      </c>
      <c r="C247" s="89">
        <v>0</v>
      </c>
      <c r="D247" s="89">
        <v>-750</v>
      </c>
      <c r="E247" s="89">
        <v>0</v>
      </c>
      <c r="F247" s="553">
        <v>750</v>
      </c>
      <c r="G247" s="553">
        <f t="shared" si="51"/>
        <v>0</v>
      </c>
      <c r="H247" s="819">
        <f t="shared" si="52"/>
        <v>0</v>
      </c>
      <c r="I247" s="553">
        <f t="shared" si="53"/>
        <v>750</v>
      </c>
      <c r="J247" s="819"/>
    </row>
    <row r="248" spans="1:10" x14ac:dyDescent="0.2">
      <c r="A248" s="77"/>
      <c r="B248" s="90"/>
      <c r="C248" s="90"/>
      <c r="D248" s="90"/>
      <c r="E248" s="90">
        <f t="shared" ref="E248:E309" si="81">B248+C248+D248</f>
        <v>0</v>
      </c>
      <c r="F248" s="90"/>
      <c r="G248" s="90">
        <f t="shared" si="51"/>
        <v>0</v>
      </c>
      <c r="H248" s="527"/>
      <c r="I248" s="90">
        <f t="shared" si="53"/>
        <v>0</v>
      </c>
      <c r="J248" s="527"/>
    </row>
    <row r="249" spans="1:10" x14ac:dyDescent="0.2">
      <c r="A249" s="76" t="s">
        <v>776</v>
      </c>
      <c r="B249" s="269">
        <f>B250+B254+B257</f>
        <v>251227</v>
      </c>
      <c r="C249" s="269">
        <f t="shared" ref="C249:D249" si="82">C250+C254+C257</f>
        <v>0</v>
      </c>
      <c r="D249" s="269">
        <f t="shared" si="82"/>
        <v>21000</v>
      </c>
      <c r="E249" s="269">
        <f t="shared" si="81"/>
        <v>272227</v>
      </c>
      <c r="F249" s="576">
        <f>F250+F254+F257</f>
        <v>273430</v>
      </c>
      <c r="G249" s="576">
        <f t="shared" si="51"/>
        <v>22203</v>
      </c>
      <c r="H249" s="757">
        <f t="shared" si="52"/>
        <v>8.8378239600042985E-2</v>
      </c>
      <c r="I249" s="576">
        <f t="shared" si="53"/>
        <v>1203</v>
      </c>
      <c r="J249" s="757">
        <f t="shared" si="54"/>
        <v>4.4191061136478011E-3</v>
      </c>
    </row>
    <row r="250" spans="1:10" x14ac:dyDescent="0.2">
      <c r="A250" s="76" t="s">
        <v>129</v>
      </c>
      <c r="B250" s="269">
        <f t="shared" ref="B250:D250" si="83">SUM(B251:B253)</f>
        <v>188950</v>
      </c>
      <c r="C250" s="269">
        <f t="shared" si="83"/>
        <v>0</v>
      </c>
      <c r="D250" s="269">
        <f t="shared" si="83"/>
        <v>21000</v>
      </c>
      <c r="E250" s="269">
        <f t="shared" si="81"/>
        <v>209950</v>
      </c>
      <c r="F250" s="576">
        <f t="shared" ref="F250" si="84">SUM(F251:F253)</f>
        <v>208950</v>
      </c>
      <c r="G250" s="576">
        <f t="shared" si="51"/>
        <v>20000</v>
      </c>
      <c r="H250" s="757">
        <f t="shared" si="52"/>
        <v>0.10584810796507012</v>
      </c>
      <c r="I250" s="576">
        <f t="shared" si="53"/>
        <v>-1000</v>
      </c>
      <c r="J250" s="757">
        <f t="shared" si="54"/>
        <v>-4.7630388187663731E-3</v>
      </c>
    </row>
    <row r="251" spans="1:10" x14ac:dyDescent="0.2">
      <c r="A251" s="77" t="s">
        <v>178</v>
      </c>
      <c r="B251" s="272">
        <v>79900</v>
      </c>
      <c r="C251" s="272"/>
      <c r="D251" s="272">
        <v>21000</v>
      </c>
      <c r="E251" s="272">
        <f t="shared" si="81"/>
        <v>100900</v>
      </c>
      <c r="F251" s="558">
        <v>99900</v>
      </c>
      <c r="G251" s="558">
        <f t="shared" si="51"/>
        <v>20000</v>
      </c>
      <c r="H251" s="814">
        <f t="shared" si="52"/>
        <v>0.25031289111389238</v>
      </c>
      <c r="I251" s="558">
        <f t="shared" si="53"/>
        <v>-1000</v>
      </c>
      <c r="J251" s="814">
        <f t="shared" si="54"/>
        <v>-9.9108027750247768E-3</v>
      </c>
    </row>
    <row r="252" spans="1:10" x14ac:dyDescent="0.2">
      <c r="A252" s="77" t="s">
        <v>285</v>
      </c>
      <c r="B252" s="272">
        <v>3750</v>
      </c>
      <c r="C252" s="272"/>
      <c r="D252" s="272"/>
      <c r="E252" s="272">
        <f t="shared" si="81"/>
        <v>3750</v>
      </c>
      <c r="F252" s="558">
        <v>3750</v>
      </c>
      <c r="G252" s="558">
        <f t="shared" si="51"/>
        <v>0</v>
      </c>
      <c r="H252" s="814">
        <f t="shared" si="52"/>
        <v>0</v>
      </c>
      <c r="I252" s="558">
        <f t="shared" si="53"/>
        <v>0</v>
      </c>
      <c r="J252" s="814">
        <f t="shared" si="54"/>
        <v>0</v>
      </c>
    </row>
    <row r="253" spans="1:10" x14ac:dyDescent="0.2">
      <c r="A253" s="77" t="s">
        <v>284</v>
      </c>
      <c r="B253" s="272">
        <v>105300</v>
      </c>
      <c r="C253" s="272"/>
      <c r="D253" s="272"/>
      <c r="E253" s="272">
        <f t="shared" si="81"/>
        <v>105300</v>
      </c>
      <c r="F253" s="558">
        <v>105300</v>
      </c>
      <c r="G253" s="558">
        <f t="shared" si="51"/>
        <v>0</v>
      </c>
      <c r="H253" s="814">
        <f t="shared" si="52"/>
        <v>0</v>
      </c>
      <c r="I253" s="558">
        <f t="shared" si="53"/>
        <v>0</v>
      </c>
      <c r="J253" s="814">
        <f t="shared" si="54"/>
        <v>0</v>
      </c>
    </row>
    <row r="254" spans="1:10" x14ac:dyDescent="0.2">
      <c r="A254" s="76" t="s">
        <v>124</v>
      </c>
      <c r="B254" s="269">
        <f t="shared" ref="B254" si="85">B255+B256</f>
        <v>60477</v>
      </c>
      <c r="C254" s="269">
        <f t="shared" ref="C254" si="86">C255+C256</f>
        <v>0</v>
      </c>
      <c r="D254" s="269"/>
      <c r="E254" s="269">
        <f t="shared" si="81"/>
        <v>60477</v>
      </c>
      <c r="F254" s="576">
        <f t="shared" ref="F254" si="87">F255+F256</f>
        <v>62680</v>
      </c>
      <c r="G254" s="576">
        <f t="shared" si="51"/>
        <v>2203</v>
      </c>
      <c r="H254" s="757">
        <f t="shared" si="52"/>
        <v>3.64270714486499E-2</v>
      </c>
      <c r="I254" s="576">
        <f t="shared" si="53"/>
        <v>2203</v>
      </c>
      <c r="J254" s="757">
        <f t="shared" si="54"/>
        <v>3.64270714486499E-2</v>
      </c>
    </row>
    <row r="255" spans="1:10" x14ac:dyDescent="0.2">
      <c r="A255" s="77" t="s">
        <v>162</v>
      </c>
      <c r="B255" s="272">
        <v>46057</v>
      </c>
      <c r="C255" s="272"/>
      <c r="D255" s="272"/>
      <c r="E255" s="272">
        <f t="shared" si="81"/>
        <v>46057</v>
      </c>
      <c r="F255" s="558">
        <v>48115</v>
      </c>
      <c r="G255" s="558">
        <f t="shared" si="51"/>
        <v>2058</v>
      </c>
      <c r="H255" s="814">
        <f t="shared" si="52"/>
        <v>4.4683761426059017E-2</v>
      </c>
      <c r="I255" s="558">
        <f t="shared" si="53"/>
        <v>2058</v>
      </c>
      <c r="J255" s="814">
        <f t="shared" si="54"/>
        <v>4.4683761426059017E-2</v>
      </c>
    </row>
    <row r="256" spans="1:10" x14ac:dyDescent="0.2">
      <c r="A256" s="77" t="s">
        <v>163</v>
      </c>
      <c r="B256" s="272">
        <v>14420</v>
      </c>
      <c r="C256" s="272"/>
      <c r="D256" s="272"/>
      <c r="E256" s="272">
        <f t="shared" si="81"/>
        <v>14420</v>
      </c>
      <c r="F256" s="558">
        <v>14565</v>
      </c>
      <c r="G256" s="558">
        <f t="shared" si="51"/>
        <v>145</v>
      </c>
      <c r="H256" s="814">
        <f t="shared" si="52"/>
        <v>1.0055478502080445E-2</v>
      </c>
      <c r="I256" s="558">
        <f t="shared" si="53"/>
        <v>145</v>
      </c>
      <c r="J256" s="814">
        <f t="shared" si="54"/>
        <v>1.0055478502080445E-2</v>
      </c>
    </row>
    <row r="257" spans="1:10" x14ac:dyDescent="0.2">
      <c r="A257" s="76" t="s">
        <v>125</v>
      </c>
      <c r="B257" s="269">
        <f>B258</f>
        <v>1800</v>
      </c>
      <c r="C257" s="269">
        <f>C258</f>
        <v>0</v>
      </c>
      <c r="D257" s="269"/>
      <c r="E257" s="269">
        <f t="shared" si="81"/>
        <v>1800</v>
      </c>
      <c r="F257" s="576">
        <f>F258</f>
        <v>1800</v>
      </c>
      <c r="G257" s="576">
        <f t="shared" si="51"/>
        <v>0</v>
      </c>
      <c r="H257" s="757">
        <f t="shared" si="52"/>
        <v>0</v>
      </c>
      <c r="I257" s="576">
        <f t="shared" si="53"/>
        <v>0</v>
      </c>
      <c r="J257" s="757">
        <f t="shared" si="54"/>
        <v>0</v>
      </c>
    </row>
    <row r="258" spans="1:10" x14ac:dyDescent="0.2">
      <c r="A258" s="79" t="s">
        <v>177</v>
      </c>
      <c r="B258" s="271">
        <v>1800</v>
      </c>
      <c r="C258" s="271"/>
      <c r="D258" s="271"/>
      <c r="E258" s="271">
        <f t="shared" si="81"/>
        <v>1800</v>
      </c>
      <c r="F258" s="553">
        <v>1800</v>
      </c>
      <c r="G258" s="553">
        <f t="shared" si="51"/>
        <v>0</v>
      </c>
      <c r="H258" s="819">
        <f t="shared" si="52"/>
        <v>0</v>
      </c>
      <c r="I258" s="553">
        <f t="shared" si="53"/>
        <v>0</v>
      </c>
      <c r="J258" s="819">
        <f t="shared" si="54"/>
        <v>0</v>
      </c>
    </row>
    <row r="259" spans="1:10" x14ac:dyDescent="0.2">
      <c r="A259" s="77"/>
      <c r="B259" s="90"/>
      <c r="C259" s="90"/>
      <c r="D259" s="90"/>
      <c r="E259" s="90">
        <f t="shared" si="81"/>
        <v>0</v>
      </c>
      <c r="F259" s="558"/>
      <c r="G259" s="558">
        <f t="shared" si="51"/>
        <v>0</v>
      </c>
      <c r="H259" s="814"/>
      <c r="I259" s="558">
        <f t="shared" si="53"/>
        <v>0</v>
      </c>
      <c r="J259" s="814"/>
    </row>
    <row r="260" spans="1:10" x14ac:dyDescent="0.2">
      <c r="A260" s="124" t="s">
        <v>778</v>
      </c>
      <c r="B260" s="273">
        <f t="shared" ref="B260:D261" si="88">B261</f>
        <v>5175</v>
      </c>
      <c r="C260" s="273">
        <f t="shared" si="88"/>
        <v>0</v>
      </c>
      <c r="D260" s="273">
        <f t="shared" si="88"/>
        <v>-3000</v>
      </c>
      <c r="E260" s="273">
        <f t="shared" si="81"/>
        <v>2175</v>
      </c>
      <c r="F260" s="662">
        <f t="shared" ref="F260:F261" si="89">F261</f>
        <v>5260</v>
      </c>
      <c r="G260" s="662">
        <f t="shared" si="51"/>
        <v>85</v>
      </c>
      <c r="H260" s="636">
        <f t="shared" si="52"/>
        <v>1.6425120772946861E-2</v>
      </c>
      <c r="I260" s="662">
        <f t="shared" si="53"/>
        <v>3085</v>
      </c>
      <c r="J260" s="636">
        <f t="shared" si="54"/>
        <v>1.4183908045977012</v>
      </c>
    </row>
    <row r="261" spans="1:10" x14ac:dyDescent="0.2">
      <c r="A261" s="76" t="s">
        <v>124</v>
      </c>
      <c r="B261" s="269">
        <f t="shared" si="88"/>
        <v>5175</v>
      </c>
      <c r="C261" s="269">
        <f t="shared" si="88"/>
        <v>0</v>
      </c>
      <c r="D261" s="269">
        <f t="shared" si="88"/>
        <v>-3000</v>
      </c>
      <c r="E261" s="269">
        <f t="shared" si="81"/>
        <v>2175</v>
      </c>
      <c r="F261" s="576">
        <f t="shared" si="89"/>
        <v>5260</v>
      </c>
      <c r="G261" s="576">
        <f t="shared" si="51"/>
        <v>85</v>
      </c>
      <c r="H261" s="757">
        <f t="shared" si="52"/>
        <v>1.6425120772946861E-2</v>
      </c>
      <c r="I261" s="576">
        <f t="shared" si="53"/>
        <v>3085</v>
      </c>
      <c r="J261" s="757">
        <f t="shared" si="54"/>
        <v>1.4183908045977012</v>
      </c>
    </row>
    <row r="262" spans="1:10" x14ac:dyDescent="0.2">
      <c r="A262" s="77" t="s">
        <v>286</v>
      </c>
      <c r="B262" s="272">
        <v>5175</v>
      </c>
      <c r="C262" s="272"/>
      <c r="D262" s="272">
        <v>-3000</v>
      </c>
      <c r="E262" s="272">
        <f t="shared" si="81"/>
        <v>2175</v>
      </c>
      <c r="F262" s="603">
        <v>5260</v>
      </c>
      <c r="G262" s="603">
        <f t="shared" ref="G262:G325" si="90">F262-B262</f>
        <v>85</v>
      </c>
      <c r="H262" s="529">
        <f t="shared" ref="H262:H325" si="91">G262/B262</f>
        <v>1.6425120772946861E-2</v>
      </c>
      <c r="I262" s="603">
        <f t="shared" ref="I262:I325" si="92">F262-E262</f>
        <v>3085</v>
      </c>
      <c r="J262" s="529">
        <f t="shared" ref="J262:J325" si="93">I262/E262</f>
        <v>1.4183908045977012</v>
      </c>
    </row>
    <row r="263" spans="1:10" x14ac:dyDescent="0.2">
      <c r="A263" s="77"/>
      <c r="B263" s="90"/>
      <c r="C263" s="90"/>
      <c r="D263" s="90"/>
      <c r="E263" s="90">
        <f t="shared" si="81"/>
        <v>0</v>
      </c>
      <c r="F263" s="558"/>
      <c r="G263" s="558">
        <f t="shared" si="90"/>
        <v>0</v>
      </c>
      <c r="H263" s="814"/>
      <c r="I263" s="558">
        <f t="shared" si="92"/>
        <v>0</v>
      </c>
      <c r="J263" s="814"/>
    </row>
    <row r="264" spans="1:10" x14ac:dyDescent="0.2">
      <c r="A264" s="76" t="s">
        <v>777</v>
      </c>
      <c r="B264" s="269">
        <f>B265+B269+B272</f>
        <v>1222754</v>
      </c>
      <c r="C264" s="269">
        <f>C265+C269+C272</f>
        <v>-180000</v>
      </c>
      <c r="D264" s="269">
        <f>D265+D269+D272</f>
        <v>-156271</v>
      </c>
      <c r="E264" s="269">
        <f t="shared" si="81"/>
        <v>886483</v>
      </c>
      <c r="F264" s="576">
        <f>F265+F269+F272</f>
        <v>1206380</v>
      </c>
      <c r="G264" s="576">
        <f t="shared" si="90"/>
        <v>-16374</v>
      </c>
      <c r="H264" s="757">
        <f t="shared" si="91"/>
        <v>-1.3391082752540577E-2</v>
      </c>
      <c r="I264" s="576">
        <f t="shared" si="92"/>
        <v>319897</v>
      </c>
      <c r="J264" s="757">
        <f t="shared" si="93"/>
        <v>0.36086083997098645</v>
      </c>
    </row>
    <row r="265" spans="1:10" x14ac:dyDescent="0.2">
      <c r="A265" s="76" t="s">
        <v>129</v>
      </c>
      <c r="B265" s="269">
        <f t="shared" ref="B265" si="94">SUM(B266:B268)</f>
        <v>1087118</v>
      </c>
      <c r="C265" s="269">
        <f t="shared" ref="C265:D265" si="95">SUM(C266:C268)</f>
        <v>-157200</v>
      </c>
      <c r="D265" s="269">
        <f t="shared" si="95"/>
        <v>-119135</v>
      </c>
      <c r="E265" s="269">
        <f t="shared" si="81"/>
        <v>810783</v>
      </c>
      <c r="F265" s="576">
        <f t="shared" ref="F265" si="96">SUM(F266:F268)</f>
        <v>1103195</v>
      </c>
      <c r="G265" s="576">
        <f t="shared" si="90"/>
        <v>16077</v>
      </c>
      <c r="H265" s="757">
        <f t="shared" si="91"/>
        <v>1.478864299919604E-2</v>
      </c>
      <c r="I265" s="576">
        <f t="shared" si="92"/>
        <v>292412</v>
      </c>
      <c r="J265" s="757">
        <f t="shared" si="93"/>
        <v>0.36065383709327897</v>
      </c>
    </row>
    <row r="266" spans="1:10" x14ac:dyDescent="0.2">
      <c r="A266" s="77" t="s">
        <v>178</v>
      </c>
      <c r="B266" s="272">
        <v>868275</v>
      </c>
      <c r="C266" s="272">
        <f>-70000-40000</f>
        <v>-110000</v>
      </c>
      <c r="D266" s="272">
        <v>-65275</v>
      </c>
      <c r="E266" s="272">
        <f t="shared" si="81"/>
        <v>693000</v>
      </c>
      <c r="F266" s="558">
        <v>885195</v>
      </c>
      <c r="G266" s="558">
        <f t="shared" si="90"/>
        <v>16920</v>
      </c>
      <c r="H266" s="814">
        <f t="shared" si="91"/>
        <v>1.9486913708214565E-2</v>
      </c>
      <c r="I266" s="558">
        <f t="shared" si="92"/>
        <v>192195</v>
      </c>
      <c r="J266" s="814">
        <f t="shared" si="93"/>
        <v>0.27733766233766233</v>
      </c>
    </row>
    <row r="267" spans="1:10" x14ac:dyDescent="0.2">
      <c r="A267" s="77" t="s">
        <v>285</v>
      </c>
      <c r="B267" s="272">
        <v>144283</v>
      </c>
      <c r="C267" s="272">
        <v>-29000</v>
      </c>
      <c r="D267" s="272">
        <v>-32500</v>
      </c>
      <c r="E267" s="272">
        <f t="shared" si="81"/>
        <v>82783</v>
      </c>
      <c r="F267" s="558">
        <v>144000</v>
      </c>
      <c r="G267" s="558">
        <f t="shared" si="90"/>
        <v>-283</v>
      </c>
      <c r="H267" s="814">
        <f t="shared" si="91"/>
        <v>-1.9614230366709869E-3</v>
      </c>
      <c r="I267" s="558">
        <f t="shared" si="92"/>
        <v>61217</v>
      </c>
      <c r="J267" s="814">
        <f t="shared" si="93"/>
        <v>0.73948757595158421</v>
      </c>
    </row>
    <row r="268" spans="1:10" x14ac:dyDescent="0.2">
      <c r="A268" s="77" t="s">
        <v>284</v>
      </c>
      <c r="B268" s="272">
        <v>74560</v>
      </c>
      <c r="C268" s="272">
        <v>-18200</v>
      </c>
      <c r="D268" s="272">
        <v>-21360</v>
      </c>
      <c r="E268" s="272">
        <f t="shared" si="81"/>
        <v>35000</v>
      </c>
      <c r="F268" s="558">
        <v>74000</v>
      </c>
      <c r="G268" s="558">
        <f t="shared" si="90"/>
        <v>-560</v>
      </c>
      <c r="H268" s="814">
        <f t="shared" si="91"/>
        <v>-7.5107296137339056E-3</v>
      </c>
      <c r="I268" s="558">
        <f t="shared" si="92"/>
        <v>39000</v>
      </c>
      <c r="J268" s="814">
        <f t="shared" si="93"/>
        <v>1.1142857142857143</v>
      </c>
    </row>
    <row r="269" spans="1:10" x14ac:dyDescent="0.2">
      <c r="A269" s="76" t="s">
        <v>124</v>
      </c>
      <c r="B269" s="269">
        <f>SUM(B270:B271)</f>
        <v>133436</v>
      </c>
      <c r="C269" s="269">
        <f>SUM(C270:C271)</f>
        <v>-22800</v>
      </c>
      <c r="D269" s="269">
        <f>SUM(D270:D271)</f>
        <v>-37136</v>
      </c>
      <c r="E269" s="269">
        <f t="shared" si="81"/>
        <v>73500</v>
      </c>
      <c r="F269" s="576">
        <f>SUM(F270:F271)</f>
        <v>100985</v>
      </c>
      <c r="G269" s="576">
        <f t="shared" si="90"/>
        <v>-32451</v>
      </c>
      <c r="H269" s="757">
        <f t="shared" si="91"/>
        <v>-0.24319523966545759</v>
      </c>
      <c r="I269" s="576">
        <f t="shared" si="92"/>
        <v>27485</v>
      </c>
      <c r="J269" s="757">
        <f t="shared" si="93"/>
        <v>0.37394557823129254</v>
      </c>
    </row>
    <row r="270" spans="1:10" x14ac:dyDescent="0.2">
      <c r="A270" s="77" t="s">
        <v>162</v>
      </c>
      <c r="B270" s="272">
        <v>115636</v>
      </c>
      <c r="C270" s="272">
        <v>-20000</v>
      </c>
      <c r="D270" s="272">
        <v>-40136</v>
      </c>
      <c r="E270" s="272">
        <f t="shared" si="81"/>
        <v>55500</v>
      </c>
      <c r="F270" s="558">
        <v>85985</v>
      </c>
      <c r="G270" s="558">
        <f t="shared" si="90"/>
        <v>-29651</v>
      </c>
      <c r="H270" s="814">
        <f t="shared" si="91"/>
        <v>-0.25641668684492719</v>
      </c>
      <c r="I270" s="558">
        <f t="shared" si="92"/>
        <v>30485</v>
      </c>
      <c r="J270" s="814">
        <f t="shared" si="93"/>
        <v>0.54927927927927933</v>
      </c>
    </row>
    <row r="271" spans="1:10" x14ac:dyDescent="0.2">
      <c r="A271" s="77" t="s">
        <v>163</v>
      </c>
      <c r="B271" s="272">
        <v>17800</v>
      </c>
      <c r="C271" s="272">
        <v>-2800</v>
      </c>
      <c r="D271" s="272">
        <v>3000</v>
      </c>
      <c r="E271" s="272">
        <f t="shared" si="81"/>
        <v>18000</v>
      </c>
      <c r="F271" s="558">
        <v>15000</v>
      </c>
      <c r="G271" s="558">
        <f t="shared" si="90"/>
        <v>-2800</v>
      </c>
      <c r="H271" s="814">
        <f t="shared" si="91"/>
        <v>-0.15730337078651685</v>
      </c>
      <c r="I271" s="558">
        <f t="shared" si="92"/>
        <v>-3000</v>
      </c>
      <c r="J271" s="814">
        <f t="shared" si="93"/>
        <v>-0.16666666666666666</v>
      </c>
    </row>
    <row r="272" spans="1:10" x14ac:dyDescent="0.2">
      <c r="A272" s="76" t="s">
        <v>125</v>
      </c>
      <c r="B272" s="269">
        <f t="shared" ref="B272" si="97">B273</f>
        <v>2200</v>
      </c>
      <c r="C272" s="269">
        <f t="shared" ref="C272" si="98">C273</f>
        <v>0</v>
      </c>
      <c r="D272" s="269"/>
      <c r="E272" s="269">
        <f t="shared" si="81"/>
        <v>2200</v>
      </c>
      <c r="F272" s="576">
        <f t="shared" ref="F272" si="99">F273</f>
        <v>2200</v>
      </c>
      <c r="G272" s="576">
        <f t="shared" si="90"/>
        <v>0</v>
      </c>
      <c r="H272" s="757">
        <f t="shared" si="91"/>
        <v>0</v>
      </c>
      <c r="I272" s="576">
        <f t="shared" si="92"/>
        <v>0</v>
      </c>
      <c r="J272" s="757">
        <f t="shared" si="93"/>
        <v>0</v>
      </c>
    </row>
    <row r="273" spans="1:10" x14ac:dyDescent="0.2">
      <c r="A273" s="79" t="s">
        <v>177</v>
      </c>
      <c r="B273" s="271">
        <v>2200</v>
      </c>
      <c r="C273" s="271"/>
      <c r="D273" s="271"/>
      <c r="E273" s="271">
        <f t="shared" si="81"/>
        <v>2200</v>
      </c>
      <c r="F273" s="557">
        <v>2200</v>
      </c>
      <c r="G273" s="557">
        <f t="shared" si="90"/>
        <v>0</v>
      </c>
      <c r="H273" s="823">
        <f t="shared" si="91"/>
        <v>0</v>
      </c>
      <c r="I273" s="557">
        <f t="shared" si="92"/>
        <v>0</v>
      </c>
      <c r="J273" s="823">
        <f t="shared" si="93"/>
        <v>0</v>
      </c>
    </row>
    <row r="274" spans="1:10" x14ac:dyDescent="0.2">
      <c r="A274" s="79"/>
      <c r="B274" s="89"/>
      <c r="C274" s="89"/>
      <c r="D274" s="89"/>
      <c r="E274" s="89">
        <f t="shared" si="81"/>
        <v>0</v>
      </c>
      <c r="F274" s="89"/>
      <c r="G274" s="89">
        <f t="shared" si="90"/>
        <v>0</v>
      </c>
      <c r="H274" s="530"/>
      <c r="I274" s="89">
        <f t="shared" si="92"/>
        <v>0</v>
      </c>
      <c r="J274" s="530"/>
    </row>
    <row r="275" spans="1:10" x14ac:dyDescent="0.2">
      <c r="A275" s="78" t="s">
        <v>814</v>
      </c>
      <c r="B275" s="87">
        <f>B277+B287+B300+B307+B322+B335+B347+B355</f>
        <v>20144140</v>
      </c>
      <c r="C275" s="87">
        <f>C277+C287+C300+C307+C322+C335+C347+C355+C361</f>
        <v>3496463</v>
      </c>
      <c r="D275" s="548">
        <f>D277+D287+D300+D307+D322+D335+D347+D355+D361</f>
        <v>1767490</v>
      </c>
      <c r="E275" s="548">
        <f t="shared" si="81"/>
        <v>25408093</v>
      </c>
      <c r="F275" s="87">
        <f>F277+F287+F300+F307+F322+F335+F347+F355+F361</f>
        <v>23221948</v>
      </c>
      <c r="G275" s="87">
        <f t="shared" si="90"/>
        <v>3077808</v>
      </c>
      <c r="H275" s="523">
        <f t="shared" si="91"/>
        <v>0.15278924789045351</v>
      </c>
      <c r="I275" s="87">
        <f t="shared" si="92"/>
        <v>-2186145</v>
      </c>
      <c r="J275" s="523">
        <f t="shared" si="93"/>
        <v>-8.6041286136665202E-2</v>
      </c>
    </row>
    <row r="276" spans="1:10" x14ac:dyDescent="0.2">
      <c r="A276" s="76"/>
      <c r="B276" s="88"/>
      <c r="C276" s="88"/>
      <c r="D276" s="88"/>
      <c r="E276" s="88">
        <f t="shared" si="81"/>
        <v>0</v>
      </c>
      <c r="F276" s="88"/>
      <c r="G276" s="88">
        <f t="shared" si="90"/>
        <v>0</v>
      </c>
      <c r="H276" s="526"/>
      <c r="I276" s="88">
        <f t="shared" si="92"/>
        <v>0</v>
      </c>
      <c r="J276" s="526"/>
    </row>
    <row r="277" spans="1:10" x14ac:dyDescent="0.2">
      <c r="A277" s="76" t="s">
        <v>815</v>
      </c>
      <c r="B277" s="88">
        <f>B278+B282</f>
        <v>432352</v>
      </c>
      <c r="C277" s="88">
        <f>C278+C282</f>
        <v>1879570</v>
      </c>
      <c r="D277" s="549">
        <f>D278+D282</f>
        <v>-26840</v>
      </c>
      <c r="E277" s="549">
        <f t="shared" si="81"/>
        <v>2285082</v>
      </c>
      <c r="F277" s="549">
        <f>F278+F282</f>
        <v>1609550</v>
      </c>
      <c r="G277" s="549">
        <f t="shared" si="90"/>
        <v>1177198</v>
      </c>
      <c r="H277" s="815">
        <f t="shared" si="91"/>
        <v>2.7227768114869364</v>
      </c>
      <c r="I277" s="549">
        <f t="shared" si="92"/>
        <v>-675532</v>
      </c>
      <c r="J277" s="815">
        <f t="shared" si="93"/>
        <v>-0.29562702782657252</v>
      </c>
    </row>
    <row r="278" spans="1:10" x14ac:dyDescent="0.2">
      <c r="A278" s="76" t="s">
        <v>124</v>
      </c>
      <c r="B278" s="88">
        <f>B279+B280+B281</f>
        <v>66408</v>
      </c>
      <c r="C278" s="88">
        <f>C279+C280+C281</f>
        <v>0</v>
      </c>
      <c r="D278" s="549">
        <f>D279+D280+D281</f>
        <v>-32532</v>
      </c>
      <c r="E278" s="549">
        <f t="shared" si="81"/>
        <v>33876</v>
      </c>
      <c r="F278" s="549">
        <f>F279+F280+F281</f>
        <v>12710</v>
      </c>
      <c r="G278" s="549">
        <f t="shared" si="90"/>
        <v>-53698</v>
      </c>
      <c r="H278" s="815">
        <f t="shared" si="91"/>
        <v>-0.8086073966991929</v>
      </c>
      <c r="I278" s="549">
        <f t="shared" si="92"/>
        <v>-21166</v>
      </c>
      <c r="J278" s="815">
        <f t="shared" si="93"/>
        <v>-0.62480812374542449</v>
      </c>
    </row>
    <row r="279" spans="1:10" x14ac:dyDescent="0.2">
      <c r="A279" s="77" t="s">
        <v>162</v>
      </c>
      <c r="B279" s="90">
        <v>55641</v>
      </c>
      <c r="C279" s="90"/>
      <c r="D279" s="558">
        <v>-32532</v>
      </c>
      <c r="E279" s="603">
        <f t="shared" si="81"/>
        <v>23109</v>
      </c>
      <c r="F279" s="558"/>
      <c r="G279" s="558">
        <f t="shared" si="90"/>
        <v>-55641</v>
      </c>
      <c r="H279" s="814">
        <f t="shared" si="91"/>
        <v>-1</v>
      </c>
      <c r="I279" s="558">
        <f t="shared" si="92"/>
        <v>-23109</v>
      </c>
      <c r="J279" s="814">
        <f t="shared" si="93"/>
        <v>-1</v>
      </c>
    </row>
    <row r="280" spans="1:10" x14ac:dyDescent="0.2">
      <c r="A280" s="77" t="s">
        <v>163</v>
      </c>
      <c r="B280" s="90">
        <v>9857</v>
      </c>
      <c r="C280" s="90"/>
      <c r="D280" s="558"/>
      <c r="E280" s="603">
        <f t="shared" si="81"/>
        <v>9857</v>
      </c>
      <c r="F280" s="558">
        <v>11800</v>
      </c>
      <c r="G280" s="558">
        <f t="shared" si="90"/>
        <v>1943</v>
      </c>
      <c r="H280" s="814">
        <f t="shared" si="91"/>
        <v>0.19711879882317135</v>
      </c>
      <c r="I280" s="558">
        <f t="shared" si="92"/>
        <v>1943</v>
      </c>
      <c r="J280" s="814">
        <f t="shared" si="93"/>
        <v>0.19711879882317135</v>
      </c>
    </row>
    <row r="281" spans="1:10" x14ac:dyDescent="0.2">
      <c r="A281" s="77" t="s">
        <v>180</v>
      </c>
      <c r="B281" s="90">
        <v>910</v>
      </c>
      <c r="C281" s="90"/>
      <c r="D281" s="558"/>
      <c r="E281" s="603">
        <f t="shared" si="81"/>
        <v>910</v>
      </c>
      <c r="F281" s="558">
        <v>910</v>
      </c>
      <c r="G281" s="558">
        <f t="shared" si="90"/>
        <v>0</v>
      </c>
      <c r="H281" s="814">
        <f t="shared" si="91"/>
        <v>0</v>
      </c>
      <c r="I281" s="558">
        <f t="shared" si="92"/>
        <v>0</v>
      </c>
      <c r="J281" s="814">
        <f t="shared" si="93"/>
        <v>0</v>
      </c>
    </row>
    <row r="282" spans="1:10" x14ac:dyDescent="0.2">
      <c r="A282" s="76" t="s">
        <v>134</v>
      </c>
      <c r="B282" s="269">
        <f>B283</f>
        <v>365944</v>
      </c>
      <c r="C282" s="269">
        <f>C283+C284</f>
        <v>1879570</v>
      </c>
      <c r="D282" s="576">
        <f>D283+D284+D285</f>
        <v>5692</v>
      </c>
      <c r="E282" s="549">
        <f t="shared" si="81"/>
        <v>2251206</v>
      </c>
      <c r="F282" s="576">
        <f>F283+F284</f>
        <v>1596840</v>
      </c>
      <c r="G282" s="576">
        <f t="shared" si="90"/>
        <v>1230896</v>
      </c>
      <c r="H282" s="757">
        <f t="shared" si="91"/>
        <v>3.363618477144044</v>
      </c>
      <c r="I282" s="576">
        <f t="shared" si="92"/>
        <v>-654366</v>
      </c>
      <c r="J282" s="757">
        <f t="shared" si="93"/>
        <v>-0.29067353232000981</v>
      </c>
    </row>
    <row r="283" spans="1:10" x14ac:dyDescent="0.2">
      <c r="A283" s="77" t="s">
        <v>639</v>
      </c>
      <c r="B283" s="90">
        <v>365944</v>
      </c>
      <c r="C283" s="90">
        <v>282730</v>
      </c>
      <c r="D283" s="558"/>
      <c r="E283" s="603">
        <f t="shared" si="81"/>
        <v>648674</v>
      </c>
      <c r="F283" s="558"/>
      <c r="G283" s="558">
        <f t="shared" si="90"/>
        <v>-365944</v>
      </c>
      <c r="H283" s="814">
        <f t="shared" si="91"/>
        <v>-1</v>
      </c>
      <c r="I283" s="558">
        <f t="shared" si="92"/>
        <v>-648674</v>
      </c>
      <c r="J283" s="814">
        <f t="shared" si="93"/>
        <v>-1</v>
      </c>
    </row>
    <row r="284" spans="1:10" ht="63.75" x14ac:dyDescent="0.2">
      <c r="A284" s="79" t="s">
        <v>919</v>
      </c>
      <c r="B284" s="90"/>
      <c r="C284" s="90">
        <v>1596840</v>
      </c>
      <c r="D284" s="558"/>
      <c r="E284" s="603">
        <f t="shared" si="81"/>
        <v>1596840</v>
      </c>
      <c r="F284" s="558">
        <v>1596840</v>
      </c>
      <c r="G284" s="558">
        <f t="shared" si="90"/>
        <v>1596840</v>
      </c>
      <c r="H284" s="814"/>
      <c r="I284" s="558">
        <f t="shared" si="92"/>
        <v>0</v>
      </c>
      <c r="J284" s="814">
        <f t="shared" si="93"/>
        <v>0</v>
      </c>
    </row>
    <row r="285" spans="1:10" x14ac:dyDescent="0.2">
      <c r="A285" s="516" t="s">
        <v>181</v>
      </c>
      <c r="B285" s="558"/>
      <c r="C285" s="558"/>
      <c r="D285" s="558">
        <v>5692</v>
      </c>
      <c r="E285" s="603">
        <f t="shared" si="81"/>
        <v>5692</v>
      </c>
      <c r="F285" s="558"/>
      <c r="G285" s="558">
        <f t="shared" si="90"/>
        <v>0</v>
      </c>
      <c r="H285" s="814"/>
      <c r="I285" s="558">
        <f t="shared" si="92"/>
        <v>-5692</v>
      </c>
      <c r="J285" s="814">
        <f t="shared" si="93"/>
        <v>-1</v>
      </c>
    </row>
    <row r="286" spans="1:10" x14ac:dyDescent="0.2">
      <c r="A286" s="76"/>
      <c r="B286" s="88"/>
      <c r="C286" s="88"/>
      <c r="D286" s="88"/>
      <c r="E286" s="88">
        <f t="shared" si="81"/>
        <v>0</v>
      </c>
      <c r="F286" s="88"/>
      <c r="G286" s="88">
        <f t="shared" si="90"/>
        <v>0</v>
      </c>
      <c r="H286" s="526"/>
      <c r="I286" s="88">
        <f t="shared" si="92"/>
        <v>0</v>
      </c>
      <c r="J286" s="526"/>
    </row>
    <row r="287" spans="1:10" x14ac:dyDescent="0.2">
      <c r="A287" s="76" t="s">
        <v>816</v>
      </c>
      <c r="B287" s="88">
        <f>B288+B294</f>
        <v>1091705</v>
      </c>
      <c r="C287" s="88">
        <f>C288+C294+C297</f>
        <v>-215990</v>
      </c>
      <c r="D287" s="549">
        <f>D288+D294+D297</f>
        <v>-16114</v>
      </c>
      <c r="E287" s="549">
        <f t="shared" si="81"/>
        <v>859601</v>
      </c>
      <c r="F287" s="549">
        <f>F288+F294+F297</f>
        <v>908471</v>
      </c>
      <c r="G287" s="549">
        <f t="shared" si="90"/>
        <v>-183234</v>
      </c>
      <c r="H287" s="815">
        <f t="shared" si="91"/>
        <v>-0.16784204524115948</v>
      </c>
      <c r="I287" s="549">
        <f t="shared" si="92"/>
        <v>48870</v>
      </c>
      <c r="J287" s="815">
        <f t="shared" si="93"/>
        <v>5.6851958059611379E-2</v>
      </c>
    </row>
    <row r="288" spans="1:10" x14ac:dyDescent="0.2">
      <c r="A288" s="76" t="s">
        <v>134</v>
      </c>
      <c r="B288" s="88">
        <f>B289+B290+B291+B292+B293</f>
        <v>1084327</v>
      </c>
      <c r="C288" s="88">
        <f>C289+C290+C291+C292+C293</f>
        <v>-218090</v>
      </c>
      <c r="D288" s="549">
        <f>D289+D290+D291+D292+D293</f>
        <v>-16114</v>
      </c>
      <c r="E288" s="549">
        <f t="shared" si="81"/>
        <v>850123</v>
      </c>
      <c r="F288" s="549">
        <f>F289+F290+F291+F292+F293</f>
        <v>902872</v>
      </c>
      <c r="G288" s="549">
        <f t="shared" si="90"/>
        <v>-181455</v>
      </c>
      <c r="H288" s="815">
        <f t="shared" si="91"/>
        <v>-0.16734343053340919</v>
      </c>
      <c r="I288" s="549">
        <f t="shared" si="92"/>
        <v>52749</v>
      </c>
      <c r="J288" s="815">
        <f t="shared" si="93"/>
        <v>6.2048668251535363E-2</v>
      </c>
    </row>
    <row r="289" spans="1:10" x14ac:dyDescent="0.2">
      <c r="A289" s="79" t="s">
        <v>183</v>
      </c>
      <c r="B289" s="89">
        <v>3500</v>
      </c>
      <c r="C289" s="89">
        <v>2688</v>
      </c>
      <c r="D289" s="553"/>
      <c r="E289" s="603">
        <f t="shared" si="81"/>
        <v>6188</v>
      </c>
      <c r="F289" s="553">
        <v>6732</v>
      </c>
      <c r="G289" s="553">
        <f t="shared" si="90"/>
        <v>3232</v>
      </c>
      <c r="H289" s="819">
        <f t="shared" si="91"/>
        <v>0.92342857142857138</v>
      </c>
      <c r="I289" s="553">
        <f t="shared" si="92"/>
        <v>544</v>
      </c>
      <c r="J289" s="819">
        <f t="shared" si="93"/>
        <v>8.7912087912087919E-2</v>
      </c>
    </row>
    <row r="290" spans="1:10" x14ac:dyDescent="0.2">
      <c r="A290" s="79" t="s">
        <v>182</v>
      </c>
      <c r="B290" s="89">
        <v>57000</v>
      </c>
      <c r="C290" s="89">
        <v>-17000</v>
      </c>
      <c r="D290" s="553"/>
      <c r="E290" s="603">
        <f t="shared" si="81"/>
        <v>40000</v>
      </c>
      <c r="F290" s="553">
        <v>53000</v>
      </c>
      <c r="G290" s="553">
        <f t="shared" si="90"/>
        <v>-4000</v>
      </c>
      <c r="H290" s="819">
        <f t="shared" si="91"/>
        <v>-7.0175438596491224E-2</v>
      </c>
      <c r="I290" s="553">
        <f t="shared" si="92"/>
        <v>13000</v>
      </c>
      <c r="J290" s="819">
        <f t="shared" si="93"/>
        <v>0.32500000000000001</v>
      </c>
    </row>
    <row r="291" spans="1:10" x14ac:dyDescent="0.2">
      <c r="A291" s="79" t="s">
        <v>181</v>
      </c>
      <c r="B291" s="89">
        <v>84672</v>
      </c>
      <c r="C291" s="89">
        <v>-6288</v>
      </c>
      <c r="D291" s="553"/>
      <c r="E291" s="603">
        <f t="shared" si="81"/>
        <v>78384</v>
      </c>
      <c r="F291" s="553">
        <v>78400</v>
      </c>
      <c r="G291" s="553">
        <f t="shared" si="90"/>
        <v>-6272</v>
      </c>
      <c r="H291" s="819">
        <f t="shared" si="91"/>
        <v>-7.407407407407407E-2</v>
      </c>
      <c r="I291" s="553">
        <f t="shared" si="92"/>
        <v>16</v>
      </c>
      <c r="J291" s="819">
        <f t="shared" si="93"/>
        <v>2.0412329046744235E-4</v>
      </c>
    </row>
    <row r="292" spans="1:10" x14ac:dyDescent="0.2">
      <c r="A292" s="79" t="s">
        <v>353</v>
      </c>
      <c r="B292" s="89">
        <v>130000</v>
      </c>
      <c r="C292" s="89"/>
      <c r="D292" s="553">
        <v>3898</v>
      </c>
      <c r="E292" s="603">
        <f t="shared" si="81"/>
        <v>133898</v>
      </c>
      <c r="F292" s="553">
        <v>130000</v>
      </c>
      <c r="G292" s="553">
        <f t="shared" si="90"/>
        <v>0</v>
      </c>
      <c r="H292" s="819">
        <f t="shared" si="91"/>
        <v>0</v>
      </c>
      <c r="I292" s="553">
        <f t="shared" si="92"/>
        <v>-3898</v>
      </c>
      <c r="J292" s="819">
        <f t="shared" si="93"/>
        <v>-2.9111711900103063E-2</v>
      </c>
    </row>
    <row r="293" spans="1:10" ht="25.5" x14ac:dyDescent="0.2">
      <c r="A293" s="79" t="s">
        <v>354</v>
      </c>
      <c r="B293" s="89">
        <v>809155</v>
      </c>
      <c r="C293" s="89">
        <v>-197490</v>
      </c>
      <c r="D293" s="553">
        <v>-20012</v>
      </c>
      <c r="E293" s="603">
        <f t="shared" si="81"/>
        <v>591653</v>
      </c>
      <c r="F293" s="553">
        <v>634740</v>
      </c>
      <c r="G293" s="553">
        <f t="shared" si="90"/>
        <v>-174415</v>
      </c>
      <c r="H293" s="819">
        <f t="shared" si="91"/>
        <v>-0.21555202649677752</v>
      </c>
      <c r="I293" s="553">
        <f t="shared" si="92"/>
        <v>43087</v>
      </c>
      <c r="J293" s="819">
        <f t="shared" si="93"/>
        <v>7.2824780741414311E-2</v>
      </c>
    </row>
    <row r="294" spans="1:10" x14ac:dyDescent="0.2">
      <c r="A294" s="81" t="s">
        <v>124</v>
      </c>
      <c r="B294" s="91">
        <f>B295+B296</f>
        <v>7378</v>
      </c>
      <c r="C294" s="91">
        <f>C295+C296</f>
        <v>0</v>
      </c>
      <c r="D294" s="560">
        <f>D295+D296</f>
        <v>0</v>
      </c>
      <c r="E294" s="549">
        <f t="shared" si="81"/>
        <v>7378</v>
      </c>
      <c r="F294" s="560">
        <f>F295+F296</f>
        <v>5599</v>
      </c>
      <c r="G294" s="560">
        <f t="shared" si="90"/>
        <v>-1779</v>
      </c>
      <c r="H294" s="820">
        <f t="shared" si="91"/>
        <v>-0.24112225535375439</v>
      </c>
      <c r="I294" s="560">
        <f t="shared" si="92"/>
        <v>-1779</v>
      </c>
      <c r="J294" s="820">
        <f t="shared" si="93"/>
        <v>-0.24112225535375439</v>
      </c>
    </row>
    <row r="295" spans="1:10" x14ac:dyDescent="0.2">
      <c r="A295" s="79" t="s">
        <v>162</v>
      </c>
      <c r="B295" s="89">
        <v>1803</v>
      </c>
      <c r="C295" s="89"/>
      <c r="D295" s="553"/>
      <c r="E295" s="603">
        <f t="shared" si="81"/>
        <v>1803</v>
      </c>
      <c r="F295" s="553">
        <v>1861</v>
      </c>
      <c r="G295" s="553">
        <f t="shared" si="90"/>
        <v>58</v>
      </c>
      <c r="H295" s="819">
        <f t="shared" si="91"/>
        <v>3.2168607875762617E-2</v>
      </c>
      <c r="I295" s="553">
        <f t="shared" si="92"/>
        <v>58</v>
      </c>
      <c r="J295" s="819">
        <f t="shared" si="93"/>
        <v>3.2168607875762617E-2</v>
      </c>
    </row>
    <row r="296" spans="1:10" x14ac:dyDescent="0.2">
      <c r="A296" s="79" t="s">
        <v>163</v>
      </c>
      <c r="B296" s="89">
        <v>5575</v>
      </c>
      <c r="C296" s="89"/>
      <c r="D296" s="553"/>
      <c r="E296" s="603">
        <f t="shared" si="81"/>
        <v>5575</v>
      </c>
      <c r="F296" s="553">
        <v>3738</v>
      </c>
      <c r="G296" s="553">
        <f t="shared" si="90"/>
        <v>-1837</v>
      </c>
      <c r="H296" s="819">
        <f t="shared" si="91"/>
        <v>-0.32950672645739909</v>
      </c>
      <c r="I296" s="553">
        <f t="shared" si="92"/>
        <v>-1837</v>
      </c>
      <c r="J296" s="819">
        <f t="shared" si="93"/>
        <v>-0.32950672645739909</v>
      </c>
    </row>
    <row r="297" spans="1:10" x14ac:dyDescent="0.2">
      <c r="A297" s="76" t="s">
        <v>133</v>
      </c>
      <c r="B297" s="89"/>
      <c r="C297" s="89">
        <f>C298</f>
        <v>2100</v>
      </c>
      <c r="D297" s="553">
        <f>D298</f>
        <v>0</v>
      </c>
      <c r="E297" s="549">
        <f t="shared" si="81"/>
        <v>2100</v>
      </c>
      <c r="F297" s="604">
        <f>F298</f>
        <v>0</v>
      </c>
      <c r="G297" s="604">
        <f t="shared" si="90"/>
        <v>0</v>
      </c>
      <c r="H297" s="825"/>
      <c r="I297" s="604">
        <f t="shared" si="92"/>
        <v>-2100</v>
      </c>
      <c r="J297" s="825">
        <f t="shared" si="93"/>
        <v>-1</v>
      </c>
    </row>
    <row r="298" spans="1:10" x14ac:dyDescent="0.2">
      <c r="A298" s="79" t="s">
        <v>640</v>
      </c>
      <c r="B298" s="89"/>
      <c r="C298" s="89">
        <v>2100</v>
      </c>
      <c r="D298" s="553"/>
      <c r="E298" s="603">
        <f t="shared" si="81"/>
        <v>2100</v>
      </c>
      <c r="F298" s="553"/>
      <c r="G298" s="553">
        <f t="shared" si="90"/>
        <v>0</v>
      </c>
      <c r="H298" s="819"/>
      <c r="I298" s="553">
        <f t="shared" si="92"/>
        <v>-2100</v>
      </c>
      <c r="J298" s="819">
        <f t="shared" si="93"/>
        <v>-1</v>
      </c>
    </row>
    <row r="299" spans="1:10" x14ac:dyDescent="0.2">
      <c r="A299" s="79"/>
      <c r="B299" s="89"/>
      <c r="C299" s="89"/>
      <c r="D299" s="89"/>
      <c r="E299" s="89">
        <f t="shared" si="81"/>
        <v>0</v>
      </c>
      <c r="F299" s="89"/>
      <c r="G299" s="89">
        <f t="shared" si="90"/>
        <v>0</v>
      </c>
      <c r="H299" s="530"/>
      <c r="I299" s="89">
        <f t="shared" si="92"/>
        <v>0</v>
      </c>
      <c r="J299" s="530"/>
    </row>
    <row r="300" spans="1:10" x14ac:dyDescent="0.2">
      <c r="A300" s="81" t="s">
        <v>817</v>
      </c>
      <c r="B300" s="91">
        <f>B301</f>
        <v>687560</v>
      </c>
      <c r="C300" s="91">
        <f>C301</f>
        <v>223133</v>
      </c>
      <c r="D300" s="560">
        <f>D301</f>
        <v>81000</v>
      </c>
      <c r="E300" s="549">
        <f t="shared" si="81"/>
        <v>991693</v>
      </c>
      <c r="F300" s="560">
        <f>F301</f>
        <v>988516</v>
      </c>
      <c r="G300" s="560">
        <f t="shared" si="90"/>
        <v>300956</v>
      </c>
      <c r="H300" s="820">
        <f t="shared" si="91"/>
        <v>0.43771598115073596</v>
      </c>
      <c r="I300" s="560">
        <f t="shared" si="92"/>
        <v>-3177</v>
      </c>
      <c r="J300" s="820">
        <f t="shared" si="93"/>
        <v>-3.2036124082755451E-3</v>
      </c>
    </row>
    <row r="301" spans="1:10" x14ac:dyDescent="0.2">
      <c r="A301" s="76" t="s">
        <v>134</v>
      </c>
      <c r="B301" s="88">
        <f>B302+B303</f>
        <v>687560</v>
      </c>
      <c r="C301" s="88">
        <f>C302+C303+C304+C305</f>
        <v>223133</v>
      </c>
      <c r="D301" s="549">
        <f>D302+D303+D304+D305</f>
        <v>81000</v>
      </c>
      <c r="E301" s="549">
        <f t="shared" si="81"/>
        <v>991693</v>
      </c>
      <c r="F301" s="549">
        <f>F302+F303+F304+F305</f>
        <v>988516</v>
      </c>
      <c r="G301" s="549">
        <f t="shared" si="90"/>
        <v>300956</v>
      </c>
      <c r="H301" s="815">
        <f t="shared" si="91"/>
        <v>0.43771598115073596</v>
      </c>
      <c r="I301" s="549">
        <f t="shared" si="92"/>
        <v>-3177</v>
      </c>
      <c r="J301" s="815">
        <f t="shared" si="93"/>
        <v>-3.2036124082755451E-3</v>
      </c>
    </row>
    <row r="302" spans="1:10" x14ac:dyDescent="0.2">
      <c r="A302" s="77" t="s">
        <v>182</v>
      </c>
      <c r="B302" s="90">
        <v>9620</v>
      </c>
      <c r="C302" s="90">
        <v>-3000</v>
      </c>
      <c r="D302" s="558">
        <v>1000</v>
      </c>
      <c r="E302" s="603">
        <f t="shared" si="81"/>
        <v>7620</v>
      </c>
      <c r="F302" s="558">
        <v>6600</v>
      </c>
      <c r="G302" s="558">
        <f t="shared" si="90"/>
        <v>-3020</v>
      </c>
      <c r="H302" s="814">
        <f t="shared" si="91"/>
        <v>-0.31392931392931395</v>
      </c>
      <c r="I302" s="558">
        <f t="shared" si="92"/>
        <v>-1020</v>
      </c>
      <c r="J302" s="814">
        <f t="shared" si="93"/>
        <v>-0.13385826771653545</v>
      </c>
    </row>
    <row r="303" spans="1:10" x14ac:dyDescent="0.2">
      <c r="A303" s="77" t="s">
        <v>181</v>
      </c>
      <c r="B303" s="90">
        <v>677940</v>
      </c>
      <c r="C303" s="90">
        <v>184000</v>
      </c>
      <c r="D303" s="558">
        <v>80000</v>
      </c>
      <c r="E303" s="603">
        <f t="shared" si="81"/>
        <v>941940</v>
      </c>
      <c r="F303" s="558">
        <v>878480</v>
      </c>
      <c r="G303" s="558">
        <f t="shared" si="90"/>
        <v>200540</v>
      </c>
      <c r="H303" s="814">
        <f t="shared" si="91"/>
        <v>0.29580788860371127</v>
      </c>
      <c r="I303" s="558">
        <f t="shared" si="92"/>
        <v>-63460</v>
      </c>
      <c r="J303" s="814">
        <f t="shared" si="93"/>
        <v>-6.7371594793723594E-2</v>
      </c>
    </row>
    <row r="304" spans="1:10" x14ac:dyDescent="0.2">
      <c r="A304" s="77" t="s">
        <v>353</v>
      </c>
      <c r="B304" s="90"/>
      <c r="C304" s="90">
        <v>4800</v>
      </c>
      <c r="D304" s="558"/>
      <c r="E304" s="603">
        <f t="shared" si="81"/>
        <v>4800</v>
      </c>
      <c r="F304" s="558">
        <v>41300</v>
      </c>
      <c r="G304" s="558">
        <f t="shared" si="90"/>
        <v>41300</v>
      </c>
      <c r="H304" s="814"/>
      <c r="I304" s="558">
        <f t="shared" si="92"/>
        <v>36500</v>
      </c>
      <c r="J304" s="814">
        <f t="shared" si="93"/>
        <v>7.604166666666667</v>
      </c>
    </row>
    <row r="305" spans="1:10" x14ac:dyDescent="0.2">
      <c r="A305" s="77" t="s">
        <v>920</v>
      </c>
      <c r="B305" s="90"/>
      <c r="C305" s="90">
        <v>37333</v>
      </c>
      <c r="D305" s="558"/>
      <c r="E305" s="603">
        <f t="shared" si="81"/>
        <v>37333</v>
      </c>
      <c r="F305" s="558">
        <v>62136</v>
      </c>
      <c r="G305" s="558">
        <f t="shared" si="90"/>
        <v>62136</v>
      </c>
      <c r="H305" s="814"/>
      <c r="I305" s="558">
        <f t="shared" si="92"/>
        <v>24803</v>
      </c>
      <c r="J305" s="814">
        <f t="shared" si="93"/>
        <v>0.66437200332145818</v>
      </c>
    </row>
    <row r="306" spans="1:10" x14ac:dyDescent="0.2">
      <c r="A306" s="76"/>
      <c r="B306" s="88"/>
      <c r="C306" s="88"/>
      <c r="D306" s="88"/>
      <c r="E306" s="88">
        <f t="shared" si="81"/>
        <v>0</v>
      </c>
      <c r="F306" s="88"/>
      <c r="G306" s="88">
        <f t="shared" si="90"/>
        <v>0</v>
      </c>
      <c r="H306" s="526"/>
      <c r="I306" s="88">
        <f t="shared" si="92"/>
        <v>0</v>
      </c>
      <c r="J306" s="526"/>
    </row>
    <row r="307" spans="1:10" x14ac:dyDescent="0.2">
      <c r="A307" s="76" t="s">
        <v>818</v>
      </c>
      <c r="B307" s="88">
        <f>B308+B314+B316+B318</f>
        <v>2140010</v>
      </c>
      <c r="C307" s="88">
        <f>C308+C314+C316+C318</f>
        <v>-219000</v>
      </c>
      <c r="D307" s="549">
        <f>D308+D314+D316+D318</f>
        <v>6500</v>
      </c>
      <c r="E307" s="549">
        <f t="shared" si="81"/>
        <v>1927510</v>
      </c>
      <c r="F307" s="549">
        <f>F308+F314+F316+F318</f>
        <v>2125190</v>
      </c>
      <c r="G307" s="549">
        <f t="shared" si="90"/>
        <v>-14820</v>
      </c>
      <c r="H307" s="815">
        <f t="shared" si="91"/>
        <v>-6.9252012841061489E-3</v>
      </c>
      <c r="I307" s="549">
        <f t="shared" si="92"/>
        <v>197680</v>
      </c>
      <c r="J307" s="815">
        <f t="shared" si="93"/>
        <v>0.1025571851767306</v>
      </c>
    </row>
    <row r="308" spans="1:10" x14ac:dyDescent="0.2">
      <c r="A308" s="76" t="s">
        <v>134</v>
      </c>
      <c r="B308" s="88">
        <f>B309+B310+B311+B312</f>
        <v>2115520</v>
      </c>
      <c r="C308" s="88">
        <f>C309+C310+C311+C312+C313</f>
        <v>-221000</v>
      </c>
      <c r="D308" s="549">
        <f>D309+D310+D311+D312+D313</f>
        <v>5000</v>
      </c>
      <c r="E308" s="549">
        <f t="shared" si="81"/>
        <v>1899520</v>
      </c>
      <c r="F308" s="549">
        <f>F309+F310+F311+F312+F313</f>
        <v>2096800</v>
      </c>
      <c r="G308" s="549">
        <f t="shared" si="90"/>
        <v>-18720</v>
      </c>
      <c r="H308" s="815">
        <f t="shared" si="91"/>
        <v>-8.8488882166086833E-3</v>
      </c>
      <c r="I308" s="549">
        <f t="shared" si="92"/>
        <v>197280</v>
      </c>
      <c r="J308" s="815">
        <f t="shared" si="93"/>
        <v>0.10385781671159029</v>
      </c>
    </row>
    <row r="309" spans="1:10" x14ac:dyDescent="0.2">
      <c r="A309" s="79" t="s">
        <v>184</v>
      </c>
      <c r="B309" s="89">
        <v>110520</v>
      </c>
      <c r="C309" s="89"/>
      <c r="D309" s="553"/>
      <c r="E309" s="603">
        <f t="shared" si="81"/>
        <v>110520</v>
      </c>
      <c r="F309" s="553">
        <v>127800</v>
      </c>
      <c r="G309" s="553">
        <f t="shared" si="90"/>
        <v>17280</v>
      </c>
      <c r="H309" s="819">
        <f t="shared" si="91"/>
        <v>0.15635179153094461</v>
      </c>
      <c r="I309" s="553">
        <f t="shared" si="92"/>
        <v>17280</v>
      </c>
      <c r="J309" s="819">
        <f t="shared" si="93"/>
        <v>0.15635179153094461</v>
      </c>
    </row>
    <row r="310" spans="1:10" x14ac:dyDescent="0.2">
      <c r="A310" s="79" t="s">
        <v>537</v>
      </c>
      <c r="B310" s="89">
        <v>5000</v>
      </c>
      <c r="C310" s="89"/>
      <c r="D310" s="553"/>
      <c r="E310" s="603">
        <f t="shared" ref="E310:E373" si="100">B310+C310+D310</f>
        <v>5000</v>
      </c>
      <c r="F310" s="553">
        <v>5000</v>
      </c>
      <c r="G310" s="553">
        <f t="shared" si="90"/>
        <v>0</v>
      </c>
      <c r="H310" s="819">
        <f t="shared" si="91"/>
        <v>0</v>
      </c>
      <c r="I310" s="553">
        <f t="shared" si="92"/>
        <v>0</v>
      </c>
      <c r="J310" s="819">
        <f t="shared" si="93"/>
        <v>0</v>
      </c>
    </row>
    <row r="311" spans="1:10" x14ac:dyDescent="0.2">
      <c r="A311" s="79" t="s">
        <v>353</v>
      </c>
      <c r="B311" s="89">
        <v>1000000</v>
      </c>
      <c r="C311" s="89">
        <v>-125000</v>
      </c>
      <c r="D311" s="553"/>
      <c r="E311" s="603">
        <f t="shared" si="100"/>
        <v>875000</v>
      </c>
      <c r="F311" s="553">
        <v>1000000</v>
      </c>
      <c r="G311" s="553">
        <f t="shared" si="90"/>
        <v>0</v>
      </c>
      <c r="H311" s="819">
        <f t="shared" si="91"/>
        <v>0</v>
      </c>
      <c r="I311" s="553">
        <f t="shared" si="92"/>
        <v>125000</v>
      </c>
      <c r="J311" s="819">
        <f t="shared" si="93"/>
        <v>0.14285714285714285</v>
      </c>
    </row>
    <row r="312" spans="1:10" ht="25.5" x14ac:dyDescent="0.2">
      <c r="A312" s="79" t="s">
        <v>354</v>
      </c>
      <c r="B312" s="89">
        <v>1000000</v>
      </c>
      <c r="C312" s="89">
        <v>-100000</v>
      </c>
      <c r="D312" s="553"/>
      <c r="E312" s="603">
        <f t="shared" si="100"/>
        <v>900000</v>
      </c>
      <c r="F312" s="553">
        <v>960000</v>
      </c>
      <c r="G312" s="553">
        <f t="shared" si="90"/>
        <v>-40000</v>
      </c>
      <c r="H312" s="819">
        <f t="shared" si="91"/>
        <v>-0.04</v>
      </c>
      <c r="I312" s="553">
        <f t="shared" si="92"/>
        <v>60000</v>
      </c>
      <c r="J312" s="819">
        <f t="shared" si="93"/>
        <v>6.6666666666666666E-2</v>
      </c>
    </row>
    <row r="313" spans="1:10" ht="25.5" x14ac:dyDescent="0.2">
      <c r="A313" s="79" t="s">
        <v>639</v>
      </c>
      <c r="B313" s="89"/>
      <c r="C313" s="89">
        <v>4000</v>
      </c>
      <c r="D313" s="553">
        <v>5000</v>
      </c>
      <c r="E313" s="603">
        <f t="shared" si="100"/>
        <v>9000</v>
      </c>
      <c r="F313" s="553">
        <v>4000</v>
      </c>
      <c r="G313" s="553">
        <f t="shared" si="90"/>
        <v>4000</v>
      </c>
      <c r="H313" s="819"/>
      <c r="I313" s="553">
        <f t="shared" si="92"/>
        <v>-5000</v>
      </c>
      <c r="J313" s="819">
        <f t="shared" si="93"/>
        <v>-0.55555555555555558</v>
      </c>
    </row>
    <row r="314" spans="1:10" x14ac:dyDescent="0.2">
      <c r="A314" s="81" t="s">
        <v>124</v>
      </c>
      <c r="B314" s="91">
        <f>B315</f>
        <v>9800</v>
      </c>
      <c r="C314" s="91">
        <f>C315</f>
        <v>0</v>
      </c>
      <c r="D314" s="560">
        <f>D315</f>
        <v>0</v>
      </c>
      <c r="E314" s="549">
        <f t="shared" si="100"/>
        <v>9800</v>
      </c>
      <c r="F314" s="560">
        <f>F315</f>
        <v>11700</v>
      </c>
      <c r="G314" s="560">
        <f t="shared" si="90"/>
        <v>1900</v>
      </c>
      <c r="H314" s="820">
        <f t="shared" si="91"/>
        <v>0.19387755102040816</v>
      </c>
      <c r="I314" s="560">
        <f t="shared" si="92"/>
        <v>1900</v>
      </c>
      <c r="J314" s="820">
        <f t="shared" si="93"/>
        <v>0.19387755102040816</v>
      </c>
    </row>
    <row r="315" spans="1:10" x14ac:dyDescent="0.2">
      <c r="A315" s="79" t="s">
        <v>163</v>
      </c>
      <c r="B315" s="89">
        <v>9800</v>
      </c>
      <c r="C315" s="89"/>
      <c r="D315" s="553"/>
      <c r="E315" s="603">
        <f t="shared" si="100"/>
        <v>9800</v>
      </c>
      <c r="F315" s="553">
        <v>11700</v>
      </c>
      <c r="G315" s="553">
        <f t="shared" si="90"/>
        <v>1900</v>
      </c>
      <c r="H315" s="819">
        <f t="shared" si="91"/>
        <v>0.19387755102040816</v>
      </c>
      <c r="I315" s="553">
        <f t="shared" si="92"/>
        <v>1900</v>
      </c>
      <c r="J315" s="819">
        <f t="shared" si="93"/>
        <v>0.19387755102040816</v>
      </c>
    </row>
    <row r="316" spans="1:10" x14ac:dyDescent="0.2">
      <c r="A316" s="83" t="s">
        <v>125</v>
      </c>
      <c r="B316" s="92">
        <f>B317</f>
        <v>12690</v>
      </c>
      <c r="C316" s="92">
        <f>C317</f>
        <v>0</v>
      </c>
      <c r="D316" s="549">
        <f>D317</f>
        <v>1500</v>
      </c>
      <c r="E316" s="549">
        <f t="shared" si="100"/>
        <v>14190</v>
      </c>
      <c r="F316" s="549">
        <f>F317</f>
        <v>12690</v>
      </c>
      <c r="G316" s="549">
        <f t="shared" si="90"/>
        <v>0</v>
      </c>
      <c r="H316" s="815">
        <f t="shared" si="91"/>
        <v>0</v>
      </c>
      <c r="I316" s="549">
        <f t="shared" si="92"/>
        <v>-1500</v>
      </c>
      <c r="J316" s="815">
        <f t="shared" si="93"/>
        <v>-0.10570824524312897</v>
      </c>
    </row>
    <row r="317" spans="1:10" ht="25.5" x14ac:dyDescent="0.2">
      <c r="A317" s="79" t="s">
        <v>164</v>
      </c>
      <c r="B317" s="89">
        <v>12690</v>
      </c>
      <c r="C317" s="89"/>
      <c r="D317" s="553">
        <v>1500</v>
      </c>
      <c r="E317" s="603">
        <f t="shared" si="100"/>
        <v>14190</v>
      </c>
      <c r="F317" s="553">
        <v>12690</v>
      </c>
      <c r="G317" s="553">
        <f t="shared" si="90"/>
        <v>0</v>
      </c>
      <c r="H317" s="819">
        <f t="shared" si="91"/>
        <v>0</v>
      </c>
      <c r="I317" s="553">
        <f t="shared" si="92"/>
        <v>-1500</v>
      </c>
      <c r="J317" s="819">
        <f t="shared" si="93"/>
        <v>-0.10570824524312897</v>
      </c>
    </row>
    <row r="318" spans="1:10" x14ac:dyDescent="0.2">
      <c r="A318" s="83" t="s">
        <v>133</v>
      </c>
      <c r="B318" s="270">
        <f>B319</f>
        <v>2000</v>
      </c>
      <c r="C318" s="270">
        <f>C319+C320</f>
        <v>2000</v>
      </c>
      <c r="D318" s="604">
        <f>D319+D320</f>
        <v>0</v>
      </c>
      <c r="E318" s="549">
        <f t="shared" si="100"/>
        <v>4000</v>
      </c>
      <c r="F318" s="604">
        <f>F319+F320</f>
        <v>4000</v>
      </c>
      <c r="G318" s="604">
        <f t="shared" si="90"/>
        <v>2000</v>
      </c>
      <c r="H318" s="825">
        <f t="shared" si="91"/>
        <v>1</v>
      </c>
      <c r="I318" s="604">
        <f t="shared" si="92"/>
        <v>0</v>
      </c>
      <c r="J318" s="825">
        <f t="shared" si="93"/>
        <v>0</v>
      </c>
    </row>
    <row r="319" spans="1:10" x14ac:dyDescent="0.2">
      <c r="A319" s="274" t="s">
        <v>640</v>
      </c>
      <c r="B319" s="271">
        <v>2000</v>
      </c>
      <c r="C319" s="271"/>
      <c r="D319" s="557"/>
      <c r="E319" s="603">
        <f t="shared" si="100"/>
        <v>2000</v>
      </c>
      <c r="F319" s="557">
        <v>2000</v>
      </c>
      <c r="G319" s="557">
        <f t="shared" si="90"/>
        <v>0</v>
      </c>
      <c r="H319" s="823">
        <f t="shared" si="91"/>
        <v>0</v>
      </c>
      <c r="I319" s="557">
        <f t="shared" si="92"/>
        <v>0</v>
      </c>
      <c r="J319" s="823">
        <f t="shared" si="93"/>
        <v>0</v>
      </c>
    </row>
    <row r="320" spans="1:10" x14ac:dyDescent="0.2">
      <c r="A320" s="274" t="s">
        <v>921</v>
      </c>
      <c r="B320" s="271"/>
      <c r="C320" s="271">
        <v>2000</v>
      </c>
      <c r="D320" s="557"/>
      <c r="E320" s="603">
        <f t="shared" si="100"/>
        <v>2000</v>
      </c>
      <c r="F320" s="557">
        <v>2000</v>
      </c>
      <c r="G320" s="557">
        <f t="shared" si="90"/>
        <v>2000</v>
      </c>
      <c r="H320" s="823"/>
      <c r="I320" s="557">
        <f t="shared" si="92"/>
        <v>0</v>
      </c>
      <c r="J320" s="823">
        <f t="shared" si="93"/>
        <v>0</v>
      </c>
    </row>
    <row r="321" spans="1:10" x14ac:dyDescent="0.2">
      <c r="A321" s="76"/>
      <c r="B321" s="88"/>
      <c r="C321" s="88"/>
      <c r="D321" s="88"/>
      <c r="E321" s="88">
        <f t="shared" si="100"/>
        <v>0</v>
      </c>
      <c r="F321" s="88"/>
      <c r="G321" s="88">
        <f t="shared" si="90"/>
        <v>0</v>
      </c>
      <c r="H321" s="526"/>
      <c r="I321" s="88">
        <f t="shared" si="92"/>
        <v>0</v>
      </c>
      <c r="J321" s="526"/>
    </row>
    <row r="322" spans="1:10" x14ac:dyDescent="0.2">
      <c r="A322" s="76" t="s">
        <v>819</v>
      </c>
      <c r="B322" s="88">
        <f>B323+B325+B330</f>
        <v>1990633</v>
      </c>
      <c r="C322" s="88">
        <f>C323+C325+C330+C328+C332</f>
        <v>143797</v>
      </c>
      <c r="D322" s="549">
        <f>D323+D325+D330+D328+D332</f>
        <v>100000</v>
      </c>
      <c r="E322" s="549">
        <f t="shared" si="100"/>
        <v>2234430</v>
      </c>
      <c r="F322" s="549">
        <f>F323+F325+F328+F330+F332</f>
        <v>2247573</v>
      </c>
      <c r="G322" s="549">
        <f t="shared" si="90"/>
        <v>256940</v>
      </c>
      <c r="H322" s="815">
        <f t="shared" si="91"/>
        <v>0.12907452051684062</v>
      </c>
      <c r="I322" s="549">
        <f t="shared" si="92"/>
        <v>13143</v>
      </c>
      <c r="J322" s="815">
        <f t="shared" si="93"/>
        <v>5.8820370295780133E-3</v>
      </c>
    </row>
    <row r="323" spans="1:10" x14ac:dyDescent="0.2">
      <c r="A323" s="275" t="s">
        <v>135</v>
      </c>
      <c r="B323" s="88">
        <f>B324</f>
        <v>210900</v>
      </c>
      <c r="C323" s="88">
        <f>C324</f>
        <v>8697</v>
      </c>
      <c r="D323" s="549">
        <f>D324</f>
        <v>0</v>
      </c>
      <c r="E323" s="549">
        <f t="shared" si="100"/>
        <v>219597</v>
      </c>
      <c r="F323" s="549">
        <f>F324</f>
        <v>216301</v>
      </c>
      <c r="G323" s="549">
        <f t="shared" si="90"/>
        <v>5401</v>
      </c>
      <c r="H323" s="815">
        <f t="shared" si="91"/>
        <v>2.5609293504030347E-2</v>
      </c>
      <c r="I323" s="549">
        <f t="shared" si="92"/>
        <v>-3296</v>
      </c>
      <c r="J323" s="815">
        <f t="shared" si="93"/>
        <v>-1.5009312513376777E-2</v>
      </c>
    </row>
    <row r="324" spans="1:10" x14ac:dyDescent="0.2">
      <c r="A324" s="77" t="s">
        <v>641</v>
      </c>
      <c r="B324" s="90">
        <v>210900</v>
      </c>
      <c r="C324" s="90">
        <v>8697</v>
      </c>
      <c r="D324" s="558"/>
      <c r="E324" s="603">
        <f t="shared" si="100"/>
        <v>219597</v>
      </c>
      <c r="F324" s="558">
        <v>216301</v>
      </c>
      <c r="G324" s="558">
        <f t="shared" si="90"/>
        <v>5401</v>
      </c>
      <c r="H324" s="814">
        <f t="shared" si="91"/>
        <v>2.5609293504030347E-2</v>
      </c>
      <c r="I324" s="558">
        <f t="shared" si="92"/>
        <v>-3296</v>
      </c>
      <c r="J324" s="814">
        <f t="shared" si="93"/>
        <v>-1.5009312513376777E-2</v>
      </c>
    </row>
    <row r="325" spans="1:10" x14ac:dyDescent="0.2">
      <c r="A325" s="76" t="s">
        <v>134</v>
      </c>
      <c r="B325" s="88">
        <f>B326+B327</f>
        <v>1778133</v>
      </c>
      <c r="C325" s="88">
        <f>C326+C327</f>
        <v>132500</v>
      </c>
      <c r="D325" s="549">
        <f>D326+D327</f>
        <v>100000</v>
      </c>
      <c r="E325" s="549">
        <f t="shared" si="100"/>
        <v>2010633</v>
      </c>
      <c r="F325" s="549">
        <f>F326+F327</f>
        <v>2029672</v>
      </c>
      <c r="G325" s="549">
        <f t="shared" si="90"/>
        <v>251539</v>
      </c>
      <c r="H325" s="815">
        <f t="shared" si="91"/>
        <v>0.14146242153989605</v>
      </c>
      <c r="I325" s="549">
        <f t="shared" si="92"/>
        <v>19039</v>
      </c>
      <c r="J325" s="815">
        <f t="shared" si="93"/>
        <v>9.4691572256100434E-3</v>
      </c>
    </row>
    <row r="326" spans="1:10" x14ac:dyDescent="0.2">
      <c r="A326" s="79" t="s">
        <v>182</v>
      </c>
      <c r="B326" s="89">
        <v>32000</v>
      </c>
      <c r="C326" s="89">
        <v>-22500</v>
      </c>
      <c r="D326" s="553"/>
      <c r="E326" s="603">
        <f t="shared" si="100"/>
        <v>9500</v>
      </c>
      <c r="F326" s="553">
        <v>9000</v>
      </c>
      <c r="G326" s="553">
        <f t="shared" ref="G326:G389" si="101">F326-B326</f>
        <v>-23000</v>
      </c>
      <c r="H326" s="819">
        <f t="shared" ref="H326:H389" si="102">G326/B326</f>
        <v>-0.71875</v>
      </c>
      <c r="I326" s="553">
        <f t="shared" ref="I326:I389" si="103">F326-E326</f>
        <v>-500</v>
      </c>
      <c r="J326" s="819">
        <f t="shared" ref="J326:J389" si="104">I326/E326</f>
        <v>-5.2631578947368418E-2</v>
      </c>
    </row>
    <row r="327" spans="1:10" x14ac:dyDescent="0.2">
      <c r="A327" s="79" t="s">
        <v>181</v>
      </c>
      <c r="B327" s="89">
        <v>1746133</v>
      </c>
      <c r="C327" s="89">
        <v>155000</v>
      </c>
      <c r="D327" s="553">
        <v>100000</v>
      </c>
      <c r="E327" s="603">
        <f t="shared" si="100"/>
        <v>2001133</v>
      </c>
      <c r="F327" s="553">
        <v>2020672</v>
      </c>
      <c r="G327" s="553">
        <f t="shared" si="101"/>
        <v>274539</v>
      </c>
      <c r="H327" s="819">
        <f t="shared" si="102"/>
        <v>0.15722685499901784</v>
      </c>
      <c r="I327" s="553">
        <f t="shared" si="103"/>
        <v>19539</v>
      </c>
      <c r="J327" s="819">
        <f t="shared" si="104"/>
        <v>9.7639687117248072E-3</v>
      </c>
    </row>
    <row r="328" spans="1:10" x14ac:dyDescent="0.2">
      <c r="A328" s="76" t="s">
        <v>124</v>
      </c>
      <c r="B328" s="89"/>
      <c r="C328" s="89">
        <f>C329</f>
        <v>1100</v>
      </c>
      <c r="D328" s="604">
        <f>D329</f>
        <v>0</v>
      </c>
      <c r="E328" s="549">
        <f t="shared" si="100"/>
        <v>1100</v>
      </c>
      <c r="F328" s="604">
        <f>F329</f>
        <v>0</v>
      </c>
      <c r="G328" s="604">
        <f t="shared" si="101"/>
        <v>0</v>
      </c>
      <c r="H328" s="825"/>
      <c r="I328" s="604">
        <f t="shared" si="103"/>
        <v>-1100</v>
      </c>
      <c r="J328" s="825">
        <f t="shared" si="104"/>
        <v>-1</v>
      </c>
    </row>
    <row r="329" spans="1:10" x14ac:dyDescent="0.2">
      <c r="A329" s="77" t="s">
        <v>163</v>
      </c>
      <c r="B329" s="89"/>
      <c r="C329" s="89">
        <v>1100</v>
      </c>
      <c r="D329" s="553"/>
      <c r="E329" s="603">
        <f t="shared" si="100"/>
        <v>1100</v>
      </c>
      <c r="F329" s="553"/>
      <c r="G329" s="553">
        <f t="shared" si="101"/>
        <v>0</v>
      </c>
      <c r="H329" s="819"/>
      <c r="I329" s="553">
        <f t="shared" si="103"/>
        <v>-1100</v>
      </c>
      <c r="J329" s="819">
        <f t="shared" si="104"/>
        <v>-1</v>
      </c>
    </row>
    <row r="330" spans="1:10" x14ac:dyDescent="0.2">
      <c r="A330" s="83" t="s">
        <v>125</v>
      </c>
      <c r="B330" s="92">
        <f>B331</f>
        <v>1600</v>
      </c>
      <c r="C330" s="92">
        <f>C331</f>
        <v>0</v>
      </c>
      <c r="D330" s="549">
        <f>D331</f>
        <v>0</v>
      </c>
      <c r="E330" s="549">
        <f t="shared" si="100"/>
        <v>1600</v>
      </c>
      <c r="F330" s="549">
        <f>F331</f>
        <v>1600</v>
      </c>
      <c r="G330" s="549">
        <f t="shared" si="101"/>
        <v>0</v>
      </c>
      <c r="H330" s="815">
        <f t="shared" si="102"/>
        <v>0</v>
      </c>
      <c r="I330" s="549">
        <f t="shared" si="103"/>
        <v>0</v>
      </c>
      <c r="J330" s="815">
        <f t="shared" si="104"/>
        <v>0</v>
      </c>
    </row>
    <row r="331" spans="1:10" ht="25.5" x14ac:dyDescent="0.2">
      <c r="A331" s="79" t="s">
        <v>164</v>
      </c>
      <c r="B331" s="89">
        <v>1600</v>
      </c>
      <c r="C331" s="89"/>
      <c r="D331" s="553"/>
      <c r="E331" s="603">
        <f t="shared" si="100"/>
        <v>1600</v>
      </c>
      <c r="F331" s="553">
        <v>1600</v>
      </c>
      <c r="G331" s="553">
        <f t="shared" si="101"/>
        <v>0</v>
      </c>
      <c r="H331" s="819">
        <f t="shared" si="102"/>
        <v>0</v>
      </c>
      <c r="I331" s="553">
        <f t="shared" si="103"/>
        <v>0</v>
      </c>
      <c r="J331" s="819">
        <f t="shared" si="104"/>
        <v>0</v>
      </c>
    </row>
    <row r="332" spans="1:10" x14ac:dyDescent="0.2">
      <c r="A332" s="76" t="s">
        <v>133</v>
      </c>
      <c r="B332" s="89"/>
      <c r="C332" s="89">
        <f>C333</f>
        <v>1500</v>
      </c>
      <c r="D332" s="604">
        <f>D333</f>
        <v>0</v>
      </c>
      <c r="E332" s="549">
        <f t="shared" si="100"/>
        <v>1500</v>
      </c>
      <c r="F332" s="604">
        <f>F333</f>
        <v>0</v>
      </c>
      <c r="G332" s="604">
        <f t="shared" si="101"/>
        <v>0</v>
      </c>
      <c r="H332" s="825"/>
      <c r="I332" s="604">
        <f t="shared" si="103"/>
        <v>-1500</v>
      </c>
      <c r="J332" s="825">
        <f t="shared" si="104"/>
        <v>-1</v>
      </c>
    </row>
    <row r="333" spans="1:10" x14ac:dyDescent="0.2">
      <c r="A333" s="79" t="s">
        <v>640</v>
      </c>
      <c r="B333" s="89"/>
      <c r="C333" s="89">
        <v>1500</v>
      </c>
      <c r="D333" s="553"/>
      <c r="E333" s="603">
        <f t="shared" si="100"/>
        <v>1500</v>
      </c>
      <c r="F333" s="553"/>
      <c r="G333" s="553">
        <f t="shared" si="101"/>
        <v>0</v>
      </c>
      <c r="H333" s="819"/>
      <c r="I333" s="553">
        <f t="shared" si="103"/>
        <v>-1500</v>
      </c>
      <c r="J333" s="819">
        <f t="shared" si="104"/>
        <v>-1</v>
      </c>
    </row>
    <row r="334" spans="1:10" x14ac:dyDescent="0.2">
      <c r="A334" s="76"/>
      <c r="B334" s="88"/>
      <c r="C334" s="88"/>
      <c r="D334" s="88"/>
      <c r="E334" s="88">
        <f t="shared" si="100"/>
        <v>0</v>
      </c>
      <c r="F334" s="88"/>
      <c r="G334" s="88">
        <f t="shared" si="101"/>
        <v>0</v>
      </c>
      <c r="H334" s="526"/>
      <c r="I334" s="88">
        <f t="shared" si="103"/>
        <v>0</v>
      </c>
      <c r="J334" s="526"/>
    </row>
    <row r="335" spans="1:10" x14ac:dyDescent="0.2">
      <c r="A335" s="76" t="s">
        <v>820</v>
      </c>
      <c r="B335" s="88">
        <f>B336+B341+B344</f>
        <v>426861</v>
      </c>
      <c r="C335" s="88">
        <f>C336+C341+C344</f>
        <v>0</v>
      </c>
      <c r="D335" s="549">
        <f>D336+D341+D344</f>
        <v>9984</v>
      </c>
      <c r="E335" s="549">
        <f t="shared" si="100"/>
        <v>436845</v>
      </c>
      <c r="F335" s="549">
        <f>F336+F341+F344</f>
        <v>411578</v>
      </c>
      <c r="G335" s="549">
        <f t="shared" si="101"/>
        <v>-15283</v>
      </c>
      <c r="H335" s="815">
        <f t="shared" si="102"/>
        <v>-3.5803224000318608E-2</v>
      </c>
      <c r="I335" s="549">
        <f t="shared" si="103"/>
        <v>-25267</v>
      </c>
      <c r="J335" s="815">
        <f t="shared" si="104"/>
        <v>-5.783973720656068E-2</v>
      </c>
    </row>
    <row r="336" spans="1:10" x14ac:dyDescent="0.2">
      <c r="A336" s="76" t="s">
        <v>134</v>
      </c>
      <c r="B336" s="88">
        <f>B337+B338+B339+B340</f>
        <v>395579</v>
      </c>
      <c r="C336" s="88">
        <f>C337+C338+C339+C340</f>
        <v>0</v>
      </c>
      <c r="D336" s="549">
        <f>D337+D338+D339+D340</f>
        <v>9984</v>
      </c>
      <c r="E336" s="549">
        <f t="shared" si="100"/>
        <v>405563</v>
      </c>
      <c r="F336" s="549">
        <f>F337+F338+F339+F340</f>
        <v>380296</v>
      </c>
      <c r="G336" s="549">
        <f t="shared" si="101"/>
        <v>-15283</v>
      </c>
      <c r="H336" s="815">
        <f t="shared" si="102"/>
        <v>-3.8634507898548706E-2</v>
      </c>
      <c r="I336" s="549">
        <f t="shared" si="103"/>
        <v>-25267</v>
      </c>
      <c r="J336" s="815">
        <f t="shared" si="104"/>
        <v>-6.2301048172540396E-2</v>
      </c>
    </row>
    <row r="337" spans="1:10" x14ac:dyDescent="0.2">
      <c r="A337" s="79" t="s">
        <v>182</v>
      </c>
      <c r="B337" s="89">
        <v>45000</v>
      </c>
      <c r="C337" s="89"/>
      <c r="D337" s="553"/>
      <c r="E337" s="603">
        <f t="shared" si="100"/>
        <v>45000</v>
      </c>
      <c r="F337" s="553">
        <v>45000</v>
      </c>
      <c r="G337" s="553">
        <f t="shared" si="101"/>
        <v>0</v>
      </c>
      <c r="H337" s="819">
        <f t="shared" si="102"/>
        <v>0</v>
      </c>
      <c r="I337" s="553">
        <f t="shared" si="103"/>
        <v>0</v>
      </c>
      <c r="J337" s="819">
        <f t="shared" si="104"/>
        <v>0</v>
      </c>
    </row>
    <row r="338" spans="1:10" x14ac:dyDescent="0.2">
      <c r="A338" s="79" t="s">
        <v>181</v>
      </c>
      <c r="B338" s="89">
        <v>40579</v>
      </c>
      <c r="C338" s="89"/>
      <c r="D338" s="553">
        <v>-9300</v>
      </c>
      <c r="E338" s="603">
        <f t="shared" si="100"/>
        <v>31279</v>
      </c>
      <c r="F338" s="553">
        <v>25296</v>
      </c>
      <c r="G338" s="553">
        <f t="shared" si="101"/>
        <v>-15283</v>
      </c>
      <c r="H338" s="819">
        <f t="shared" si="102"/>
        <v>-0.37662337662337664</v>
      </c>
      <c r="I338" s="553">
        <f t="shared" si="103"/>
        <v>-5983</v>
      </c>
      <c r="J338" s="819">
        <f t="shared" si="104"/>
        <v>-0.19127849355797819</v>
      </c>
    </row>
    <row r="339" spans="1:10" x14ac:dyDescent="0.2">
      <c r="A339" s="79" t="s">
        <v>353</v>
      </c>
      <c r="B339" s="89">
        <v>60000</v>
      </c>
      <c r="C339" s="89"/>
      <c r="D339" s="553">
        <v>12719</v>
      </c>
      <c r="E339" s="603">
        <f t="shared" si="100"/>
        <v>72719</v>
      </c>
      <c r="F339" s="553">
        <v>60000</v>
      </c>
      <c r="G339" s="553">
        <f t="shared" si="101"/>
        <v>0</v>
      </c>
      <c r="H339" s="819">
        <f t="shared" si="102"/>
        <v>0</v>
      </c>
      <c r="I339" s="553">
        <f t="shared" si="103"/>
        <v>-12719</v>
      </c>
      <c r="J339" s="819">
        <f t="shared" si="104"/>
        <v>-0.17490614557405904</v>
      </c>
    </row>
    <row r="340" spans="1:10" ht="25.5" x14ac:dyDescent="0.2">
      <c r="A340" s="79" t="s">
        <v>354</v>
      </c>
      <c r="B340" s="89">
        <v>250000</v>
      </c>
      <c r="C340" s="89"/>
      <c r="D340" s="553">
        <v>6565</v>
      </c>
      <c r="E340" s="603">
        <f t="shared" si="100"/>
        <v>256565</v>
      </c>
      <c r="F340" s="553">
        <v>250000</v>
      </c>
      <c r="G340" s="553">
        <f t="shared" si="101"/>
        <v>0</v>
      </c>
      <c r="H340" s="819">
        <f t="shared" si="102"/>
        <v>0</v>
      </c>
      <c r="I340" s="553">
        <f t="shared" si="103"/>
        <v>-6565</v>
      </c>
      <c r="J340" s="819">
        <f t="shared" si="104"/>
        <v>-2.5588057607234035E-2</v>
      </c>
    </row>
    <row r="341" spans="1:10" x14ac:dyDescent="0.2">
      <c r="A341" s="76" t="s">
        <v>124</v>
      </c>
      <c r="B341" s="88">
        <f>B342+B343</f>
        <v>17282</v>
      </c>
      <c r="C341" s="88">
        <f>C342+C343</f>
        <v>0</v>
      </c>
      <c r="D341" s="549">
        <f>D342+D343</f>
        <v>0</v>
      </c>
      <c r="E341" s="549">
        <f t="shared" si="100"/>
        <v>17282</v>
      </c>
      <c r="F341" s="549">
        <f>F342+F343</f>
        <v>17282</v>
      </c>
      <c r="G341" s="549">
        <f t="shared" si="101"/>
        <v>0</v>
      </c>
      <c r="H341" s="815">
        <f t="shared" si="102"/>
        <v>0</v>
      </c>
      <c r="I341" s="549">
        <f t="shared" si="103"/>
        <v>0</v>
      </c>
      <c r="J341" s="815">
        <f t="shared" si="104"/>
        <v>0</v>
      </c>
    </row>
    <row r="342" spans="1:10" x14ac:dyDescent="0.2">
      <c r="A342" s="77" t="s">
        <v>162</v>
      </c>
      <c r="B342" s="90">
        <v>8782</v>
      </c>
      <c r="C342" s="90"/>
      <c r="D342" s="558"/>
      <c r="E342" s="603">
        <f t="shared" si="100"/>
        <v>8782</v>
      </c>
      <c r="F342" s="558">
        <v>8782</v>
      </c>
      <c r="G342" s="558">
        <f t="shared" si="101"/>
        <v>0</v>
      </c>
      <c r="H342" s="814">
        <f t="shared" si="102"/>
        <v>0</v>
      </c>
      <c r="I342" s="558">
        <f t="shared" si="103"/>
        <v>0</v>
      </c>
      <c r="J342" s="814">
        <f t="shared" si="104"/>
        <v>0</v>
      </c>
    </row>
    <row r="343" spans="1:10" x14ac:dyDescent="0.2">
      <c r="A343" s="77" t="s">
        <v>163</v>
      </c>
      <c r="B343" s="90">
        <v>8500</v>
      </c>
      <c r="C343" s="90"/>
      <c r="D343" s="558"/>
      <c r="E343" s="603">
        <f t="shared" si="100"/>
        <v>8500</v>
      </c>
      <c r="F343" s="558">
        <v>8500</v>
      </c>
      <c r="G343" s="558">
        <f t="shared" si="101"/>
        <v>0</v>
      </c>
      <c r="H343" s="814">
        <f t="shared" si="102"/>
        <v>0</v>
      </c>
      <c r="I343" s="558">
        <f t="shared" si="103"/>
        <v>0</v>
      </c>
      <c r="J343" s="814">
        <f t="shared" si="104"/>
        <v>0</v>
      </c>
    </row>
    <row r="344" spans="1:10" x14ac:dyDescent="0.2">
      <c r="A344" s="83" t="s">
        <v>125</v>
      </c>
      <c r="B344" s="92">
        <f>B345</f>
        <v>14000</v>
      </c>
      <c r="C344" s="92">
        <f>C345</f>
        <v>0</v>
      </c>
      <c r="D344" s="549">
        <f>D345</f>
        <v>0</v>
      </c>
      <c r="E344" s="549">
        <f t="shared" si="100"/>
        <v>14000</v>
      </c>
      <c r="F344" s="549">
        <f>F345</f>
        <v>14000</v>
      </c>
      <c r="G344" s="549">
        <f t="shared" si="101"/>
        <v>0</v>
      </c>
      <c r="H344" s="815">
        <f t="shared" si="102"/>
        <v>0</v>
      </c>
      <c r="I344" s="549">
        <f t="shared" si="103"/>
        <v>0</v>
      </c>
      <c r="J344" s="815">
        <f t="shared" si="104"/>
        <v>0</v>
      </c>
    </row>
    <row r="345" spans="1:10" ht="25.5" x14ac:dyDescent="0.2">
      <c r="A345" s="79" t="s">
        <v>164</v>
      </c>
      <c r="B345" s="89">
        <v>14000</v>
      </c>
      <c r="C345" s="89"/>
      <c r="D345" s="553"/>
      <c r="E345" s="603">
        <f t="shared" si="100"/>
        <v>14000</v>
      </c>
      <c r="F345" s="553">
        <v>14000</v>
      </c>
      <c r="G345" s="553">
        <f t="shared" si="101"/>
        <v>0</v>
      </c>
      <c r="H345" s="819">
        <f t="shared" si="102"/>
        <v>0</v>
      </c>
      <c r="I345" s="553">
        <f t="shared" si="103"/>
        <v>0</v>
      </c>
      <c r="J345" s="819">
        <f t="shared" si="104"/>
        <v>0</v>
      </c>
    </row>
    <row r="346" spans="1:10" x14ac:dyDescent="0.2">
      <c r="A346" s="79"/>
      <c r="B346" s="89"/>
      <c r="C346" s="89"/>
      <c r="D346" s="89"/>
      <c r="E346" s="89">
        <f t="shared" si="100"/>
        <v>0</v>
      </c>
      <c r="F346" s="89"/>
      <c r="G346" s="89">
        <f t="shared" si="101"/>
        <v>0</v>
      </c>
      <c r="H346" s="530"/>
      <c r="I346" s="89">
        <f t="shared" si="103"/>
        <v>0</v>
      </c>
      <c r="J346" s="530"/>
    </row>
    <row r="347" spans="1:10" x14ac:dyDescent="0.2">
      <c r="A347" s="76" t="s">
        <v>821</v>
      </c>
      <c r="B347" s="88">
        <f>B348+B352</f>
        <v>475070</v>
      </c>
      <c r="C347" s="88">
        <f>C348+C352</f>
        <v>11200</v>
      </c>
      <c r="D347" s="549">
        <f>D348+D352</f>
        <v>0</v>
      </c>
      <c r="E347" s="549">
        <f t="shared" si="100"/>
        <v>486270</v>
      </c>
      <c r="F347" s="549">
        <f>F348+F352</f>
        <v>486000</v>
      </c>
      <c r="G347" s="549">
        <f t="shared" si="101"/>
        <v>10930</v>
      </c>
      <c r="H347" s="815">
        <f t="shared" si="102"/>
        <v>2.3007135790515082E-2</v>
      </c>
      <c r="I347" s="549">
        <f t="shared" si="103"/>
        <v>-270</v>
      </c>
      <c r="J347" s="815">
        <f t="shared" si="104"/>
        <v>-5.5524708495280405E-4</v>
      </c>
    </row>
    <row r="348" spans="1:10" x14ac:dyDescent="0.2">
      <c r="A348" s="76" t="s">
        <v>134</v>
      </c>
      <c r="B348" s="88">
        <f>B349+B350+B351</f>
        <v>230500</v>
      </c>
      <c r="C348" s="88">
        <f>C349+C350+C351</f>
        <v>-17400</v>
      </c>
      <c r="D348" s="549">
        <f>D349+D350+D351</f>
        <v>-2000</v>
      </c>
      <c r="E348" s="549">
        <f t="shared" si="100"/>
        <v>211100</v>
      </c>
      <c r="F348" s="549">
        <f>F349+F350+F351</f>
        <v>212000</v>
      </c>
      <c r="G348" s="549">
        <f t="shared" si="101"/>
        <v>-18500</v>
      </c>
      <c r="H348" s="815">
        <f t="shared" si="102"/>
        <v>-8.0260303687635579E-2</v>
      </c>
      <c r="I348" s="549">
        <f t="shared" si="103"/>
        <v>900</v>
      </c>
      <c r="J348" s="815">
        <f t="shared" si="104"/>
        <v>4.2633822832780673E-3</v>
      </c>
    </row>
    <row r="349" spans="1:10" x14ac:dyDescent="0.2">
      <c r="A349" s="79" t="s">
        <v>185</v>
      </c>
      <c r="B349" s="89">
        <v>12000</v>
      </c>
      <c r="C349" s="89">
        <v>-3600</v>
      </c>
      <c r="D349" s="553"/>
      <c r="E349" s="603">
        <f t="shared" si="100"/>
        <v>8400</v>
      </c>
      <c r="F349" s="553">
        <v>8400</v>
      </c>
      <c r="G349" s="553">
        <f t="shared" si="101"/>
        <v>-3600</v>
      </c>
      <c r="H349" s="819">
        <f t="shared" si="102"/>
        <v>-0.3</v>
      </c>
      <c r="I349" s="553">
        <f t="shared" si="103"/>
        <v>0</v>
      </c>
      <c r="J349" s="819">
        <f t="shared" si="104"/>
        <v>0</v>
      </c>
    </row>
    <row r="350" spans="1:10" x14ac:dyDescent="0.2">
      <c r="A350" s="79" t="s">
        <v>181</v>
      </c>
      <c r="B350" s="89">
        <v>218000</v>
      </c>
      <c r="C350" s="89">
        <v>-13800</v>
      </c>
      <c r="D350" s="553">
        <v>-2000</v>
      </c>
      <c r="E350" s="603">
        <f t="shared" si="100"/>
        <v>202200</v>
      </c>
      <c r="F350" s="553">
        <v>203000</v>
      </c>
      <c r="G350" s="553">
        <f t="shared" si="101"/>
        <v>-15000</v>
      </c>
      <c r="H350" s="819">
        <f t="shared" si="102"/>
        <v>-6.8807339449541288E-2</v>
      </c>
      <c r="I350" s="553">
        <f t="shared" si="103"/>
        <v>800</v>
      </c>
      <c r="J350" s="819">
        <f t="shared" si="104"/>
        <v>3.956478733926805E-3</v>
      </c>
    </row>
    <row r="351" spans="1:10" x14ac:dyDescent="0.2">
      <c r="A351" s="79" t="s">
        <v>284</v>
      </c>
      <c r="B351" s="89">
        <v>500</v>
      </c>
      <c r="C351" s="89"/>
      <c r="D351" s="553"/>
      <c r="E351" s="603">
        <f t="shared" si="100"/>
        <v>500</v>
      </c>
      <c r="F351" s="553">
        <v>600</v>
      </c>
      <c r="G351" s="553">
        <f t="shared" si="101"/>
        <v>100</v>
      </c>
      <c r="H351" s="819">
        <f t="shared" si="102"/>
        <v>0.2</v>
      </c>
      <c r="I351" s="553">
        <f t="shared" si="103"/>
        <v>100</v>
      </c>
      <c r="J351" s="819">
        <f t="shared" si="104"/>
        <v>0.2</v>
      </c>
    </row>
    <row r="352" spans="1:10" x14ac:dyDescent="0.2">
      <c r="A352" s="275" t="s">
        <v>132</v>
      </c>
      <c r="B352" s="270">
        <f>B353</f>
        <v>244570</v>
      </c>
      <c r="C352" s="270">
        <f>C353</f>
        <v>28600</v>
      </c>
      <c r="D352" s="604">
        <f>D353</f>
        <v>2000</v>
      </c>
      <c r="E352" s="549">
        <f t="shared" si="100"/>
        <v>275170</v>
      </c>
      <c r="F352" s="604">
        <f>F353</f>
        <v>274000</v>
      </c>
      <c r="G352" s="604">
        <f t="shared" si="101"/>
        <v>29430</v>
      </c>
      <c r="H352" s="825">
        <f t="shared" si="102"/>
        <v>0.12033364680868464</v>
      </c>
      <c r="I352" s="604">
        <f t="shared" si="103"/>
        <v>-1170</v>
      </c>
      <c r="J352" s="825">
        <f t="shared" si="104"/>
        <v>-4.2519169967656359E-3</v>
      </c>
    </row>
    <row r="353" spans="1:10" ht="25.5" x14ac:dyDescent="0.2">
      <c r="A353" s="274" t="s">
        <v>642</v>
      </c>
      <c r="B353" s="271">
        <v>244570</v>
      </c>
      <c r="C353" s="271">
        <v>28600</v>
      </c>
      <c r="D353" s="557">
        <v>2000</v>
      </c>
      <c r="E353" s="603">
        <f t="shared" si="100"/>
        <v>275170</v>
      </c>
      <c r="F353" s="557">
        <v>274000</v>
      </c>
      <c r="G353" s="557">
        <f t="shared" si="101"/>
        <v>29430</v>
      </c>
      <c r="H353" s="823">
        <f t="shared" si="102"/>
        <v>0.12033364680868464</v>
      </c>
      <c r="I353" s="557">
        <f t="shared" si="103"/>
        <v>-1170</v>
      </c>
      <c r="J353" s="823">
        <f t="shared" si="104"/>
        <v>-4.2519169967656359E-3</v>
      </c>
    </row>
    <row r="354" spans="1:10" x14ac:dyDescent="0.2">
      <c r="A354" s="276"/>
      <c r="B354" s="89"/>
      <c r="C354" s="89"/>
      <c r="D354" s="89"/>
      <c r="E354" s="89">
        <f t="shared" si="100"/>
        <v>0</v>
      </c>
      <c r="F354" s="89"/>
      <c r="G354" s="89">
        <f t="shared" si="101"/>
        <v>0</v>
      </c>
      <c r="H354" s="530"/>
      <c r="I354" s="89">
        <f t="shared" si="103"/>
        <v>0</v>
      </c>
      <c r="J354" s="530"/>
    </row>
    <row r="355" spans="1:10" x14ac:dyDescent="0.2">
      <c r="A355" s="76" t="s">
        <v>922</v>
      </c>
      <c r="B355" s="88">
        <f>B356</f>
        <v>12899949</v>
      </c>
      <c r="C355" s="88">
        <f>C356</f>
        <v>1585952</v>
      </c>
      <c r="D355" s="549">
        <f>D356</f>
        <v>1538630</v>
      </c>
      <c r="E355" s="549">
        <f t="shared" si="100"/>
        <v>16024531</v>
      </c>
      <c r="F355" s="549">
        <f>F356</f>
        <v>14283070</v>
      </c>
      <c r="G355" s="549">
        <f t="shared" si="101"/>
        <v>1383121</v>
      </c>
      <c r="H355" s="815">
        <f t="shared" si="102"/>
        <v>0.10721910606003171</v>
      </c>
      <c r="I355" s="549">
        <f t="shared" si="103"/>
        <v>-1741461</v>
      </c>
      <c r="J355" s="815">
        <f t="shared" si="104"/>
        <v>-0.10867469381787211</v>
      </c>
    </row>
    <row r="356" spans="1:10" x14ac:dyDescent="0.2">
      <c r="A356" s="76" t="s">
        <v>135</v>
      </c>
      <c r="B356" s="88">
        <f>B357+B358+B359</f>
        <v>12899949</v>
      </c>
      <c r="C356" s="88">
        <f>C357+C358+C359</f>
        <v>1585952</v>
      </c>
      <c r="D356" s="549">
        <f>D357+D358+D359</f>
        <v>1538630</v>
      </c>
      <c r="E356" s="549">
        <f t="shared" si="100"/>
        <v>16024531</v>
      </c>
      <c r="F356" s="549">
        <f>F357+F358+F359</f>
        <v>14283070</v>
      </c>
      <c r="G356" s="549">
        <f t="shared" si="101"/>
        <v>1383121</v>
      </c>
      <c r="H356" s="815">
        <f t="shared" si="102"/>
        <v>0.10721910606003171</v>
      </c>
      <c r="I356" s="549">
        <f t="shared" si="103"/>
        <v>-1741461</v>
      </c>
      <c r="J356" s="815">
        <f t="shared" si="104"/>
        <v>-0.10867469381787211</v>
      </c>
    </row>
    <row r="357" spans="1:10" x14ac:dyDescent="0.2">
      <c r="A357" s="79" t="s">
        <v>538</v>
      </c>
      <c r="B357" s="89">
        <v>12619309</v>
      </c>
      <c r="C357" s="89">
        <v>1511943</v>
      </c>
      <c r="D357" s="553">
        <v>1416730</v>
      </c>
      <c r="E357" s="603">
        <f t="shared" si="100"/>
        <v>15547982</v>
      </c>
      <c r="F357" s="553">
        <v>13946000</v>
      </c>
      <c r="G357" s="553">
        <f t="shared" si="101"/>
        <v>1326691</v>
      </c>
      <c r="H357" s="819">
        <f t="shared" si="102"/>
        <v>0.10513182615624991</v>
      </c>
      <c r="I357" s="553">
        <f t="shared" si="103"/>
        <v>-1601982</v>
      </c>
      <c r="J357" s="819">
        <f t="shared" si="104"/>
        <v>-0.10303472180505482</v>
      </c>
    </row>
    <row r="358" spans="1:10" x14ac:dyDescent="0.2">
      <c r="A358" s="79" t="s">
        <v>539</v>
      </c>
      <c r="B358" s="89">
        <v>97940</v>
      </c>
      <c r="C358" s="89">
        <v>-8330</v>
      </c>
      <c r="D358" s="553"/>
      <c r="E358" s="603">
        <f t="shared" si="100"/>
        <v>89610</v>
      </c>
      <c r="F358" s="553">
        <v>100000</v>
      </c>
      <c r="G358" s="553">
        <f t="shared" si="101"/>
        <v>2060</v>
      </c>
      <c r="H358" s="819">
        <f t="shared" si="102"/>
        <v>2.1033285685113336E-2</v>
      </c>
      <c r="I358" s="553">
        <f t="shared" si="103"/>
        <v>10390</v>
      </c>
      <c r="J358" s="819">
        <f t="shared" si="104"/>
        <v>0.1159468809284678</v>
      </c>
    </row>
    <row r="359" spans="1:10" x14ac:dyDescent="0.2">
      <c r="A359" s="79" t="s">
        <v>284</v>
      </c>
      <c r="B359" s="89">
        <v>182700</v>
      </c>
      <c r="C359" s="89">
        <v>82339</v>
      </c>
      <c r="D359" s="553">
        <v>121900</v>
      </c>
      <c r="E359" s="603">
        <f t="shared" si="100"/>
        <v>386939</v>
      </c>
      <c r="F359" s="553">
        <v>237070</v>
      </c>
      <c r="G359" s="553">
        <f t="shared" si="101"/>
        <v>54370</v>
      </c>
      <c r="H359" s="819">
        <f t="shared" si="102"/>
        <v>0.29759168035030104</v>
      </c>
      <c r="I359" s="553">
        <f t="shared" si="103"/>
        <v>-149869</v>
      </c>
      <c r="J359" s="819">
        <f t="shared" si="104"/>
        <v>-0.38731944828513021</v>
      </c>
    </row>
    <row r="360" spans="1:10" x14ac:dyDescent="0.2">
      <c r="A360" s="79"/>
      <c r="B360" s="89"/>
      <c r="C360" s="89"/>
      <c r="D360" s="89"/>
      <c r="E360" s="89">
        <f t="shared" si="100"/>
        <v>0</v>
      </c>
      <c r="F360" s="89"/>
      <c r="G360" s="89">
        <f t="shared" si="101"/>
        <v>0</v>
      </c>
      <c r="H360" s="530"/>
      <c r="I360" s="89">
        <f t="shared" si="103"/>
        <v>0</v>
      </c>
      <c r="J360" s="530"/>
    </row>
    <row r="361" spans="1:10" x14ac:dyDescent="0.2">
      <c r="A361" s="76" t="s">
        <v>923</v>
      </c>
      <c r="B361" s="270"/>
      <c r="C361" s="270">
        <f>C362</f>
        <v>87801</v>
      </c>
      <c r="D361" s="604">
        <f>D362</f>
        <v>74330</v>
      </c>
      <c r="E361" s="549">
        <f t="shared" si="100"/>
        <v>162131</v>
      </c>
      <c r="F361" s="604">
        <f>F362</f>
        <v>162000</v>
      </c>
      <c r="G361" s="604">
        <f t="shared" si="101"/>
        <v>162000</v>
      </c>
      <c r="H361" s="825"/>
      <c r="I361" s="604">
        <f t="shared" si="103"/>
        <v>-131</v>
      </c>
      <c r="J361" s="825">
        <f t="shared" si="104"/>
        <v>-8.0798860180964773E-4</v>
      </c>
    </row>
    <row r="362" spans="1:10" x14ac:dyDescent="0.2">
      <c r="A362" s="76" t="s">
        <v>134</v>
      </c>
      <c r="B362" s="270"/>
      <c r="C362" s="270">
        <f>C363+C365</f>
        <v>87801</v>
      </c>
      <c r="D362" s="604">
        <f>D363+D365+D364</f>
        <v>74330</v>
      </c>
      <c r="E362" s="549">
        <f t="shared" si="100"/>
        <v>162131</v>
      </c>
      <c r="F362" s="604">
        <f>F363+F365</f>
        <v>162000</v>
      </c>
      <c r="G362" s="604">
        <f t="shared" si="101"/>
        <v>162000</v>
      </c>
      <c r="H362" s="825"/>
      <c r="I362" s="604">
        <f t="shared" si="103"/>
        <v>-131</v>
      </c>
      <c r="J362" s="825">
        <f t="shared" si="104"/>
        <v>-8.0798860180964773E-4</v>
      </c>
    </row>
    <row r="363" spans="1:10" x14ac:dyDescent="0.2">
      <c r="A363" s="506" t="s">
        <v>924</v>
      </c>
      <c r="B363" s="89"/>
      <c r="C363" s="89">
        <v>20000</v>
      </c>
      <c r="D363" s="553"/>
      <c r="E363" s="603">
        <f t="shared" si="100"/>
        <v>20000</v>
      </c>
      <c r="F363" s="553"/>
      <c r="G363" s="553">
        <f t="shared" si="101"/>
        <v>0</v>
      </c>
      <c r="H363" s="819"/>
      <c r="I363" s="553">
        <f t="shared" si="103"/>
        <v>-20000</v>
      </c>
      <c r="J363" s="819">
        <f t="shared" si="104"/>
        <v>-1</v>
      </c>
    </row>
    <row r="364" spans="1:10" x14ac:dyDescent="0.2">
      <c r="A364" s="516" t="s">
        <v>1037</v>
      </c>
      <c r="B364" s="553"/>
      <c r="C364" s="553"/>
      <c r="D364" s="553">
        <v>5480</v>
      </c>
      <c r="E364" s="603">
        <f t="shared" si="100"/>
        <v>5480</v>
      </c>
      <c r="F364" s="553"/>
      <c r="G364" s="553">
        <f t="shared" si="101"/>
        <v>0</v>
      </c>
      <c r="H364" s="819"/>
      <c r="I364" s="553">
        <f t="shared" si="103"/>
        <v>-5480</v>
      </c>
      <c r="J364" s="819">
        <f t="shared" si="104"/>
        <v>-1</v>
      </c>
    </row>
    <row r="365" spans="1:10" x14ac:dyDescent="0.2">
      <c r="A365" s="79" t="s">
        <v>925</v>
      </c>
      <c r="B365" s="89"/>
      <c r="C365" s="89">
        <v>67801</v>
      </c>
      <c r="D365" s="553">
        <v>68850</v>
      </c>
      <c r="E365" s="603">
        <f t="shared" si="100"/>
        <v>136651</v>
      </c>
      <c r="F365" s="553">
        <v>162000</v>
      </c>
      <c r="G365" s="553">
        <f t="shared" si="101"/>
        <v>162000</v>
      </c>
      <c r="H365" s="819"/>
      <c r="I365" s="553">
        <f t="shared" si="103"/>
        <v>25349</v>
      </c>
      <c r="J365" s="819">
        <f t="shared" si="104"/>
        <v>0.18550175263993676</v>
      </c>
    </row>
    <row r="366" spans="1:10" x14ac:dyDescent="0.2">
      <c r="A366" s="77"/>
      <c r="B366" s="90"/>
      <c r="C366" s="90"/>
      <c r="D366" s="90"/>
      <c r="E366" s="90">
        <f t="shared" si="100"/>
        <v>0</v>
      </c>
      <c r="F366" s="90"/>
      <c r="G366" s="90">
        <f t="shared" si="101"/>
        <v>0</v>
      </c>
      <c r="H366" s="527"/>
      <c r="I366" s="90">
        <f t="shared" si="103"/>
        <v>0</v>
      </c>
      <c r="J366" s="527"/>
    </row>
    <row r="367" spans="1:10" x14ac:dyDescent="0.2">
      <c r="A367" s="78" t="s">
        <v>822</v>
      </c>
      <c r="B367" s="87">
        <f>B368+B372+B376</f>
        <v>5895341</v>
      </c>
      <c r="C367" s="87">
        <f>C368+C372+C376</f>
        <v>835200</v>
      </c>
      <c r="D367" s="548">
        <f>D368+D372+D376</f>
        <v>-154500</v>
      </c>
      <c r="E367" s="548">
        <f t="shared" si="100"/>
        <v>6576041</v>
      </c>
      <c r="F367" s="548">
        <f>F368+F372+F376</f>
        <v>6853000</v>
      </c>
      <c r="G367" s="548">
        <f t="shared" si="101"/>
        <v>957659</v>
      </c>
      <c r="H367" s="818">
        <f t="shared" si="102"/>
        <v>0.16244335993456527</v>
      </c>
      <c r="I367" s="548">
        <f t="shared" si="103"/>
        <v>276959</v>
      </c>
      <c r="J367" s="818">
        <f t="shared" si="104"/>
        <v>4.2116373666161756E-2</v>
      </c>
    </row>
    <row r="368" spans="1:10" x14ac:dyDescent="0.2">
      <c r="A368" s="76" t="s">
        <v>132</v>
      </c>
      <c r="B368" s="88">
        <f>B369+B370+B371</f>
        <v>3580890</v>
      </c>
      <c r="C368" s="88">
        <f>C369+C370+C371</f>
        <v>306700</v>
      </c>
      <c r="D368" s="549">
        <f>D369+D370+D371</f>
        <v>0</v>
      </c>
      <c r="E368" s="549">
        <f t="shared" si="100"/>
        <v>3887590</v>
      </c>
      <c r="F368" s="549">
        <f>F369+F370+F371</f>
        <v>3756000</v>
      </c>
      <c r="G368" s="549">
        <f t="shared" si="101"/>
        <v>175110</v>
      </c>
      <c r="H368" s="815">
        <f t="shared" si="102"/>
        <v>4.8901250806363782E-2</v>
      </c>
      <c r="I368" s="549">
        <f t="shared" si="103"/>
        <v>-131590</v>
      </c>
      <c r="J368" s="815">
        <f t="shared" si="104"/>
        <v>-3.3848734048600802E-2</v>
      </c>
    </row>
    <row r="369" spans="1:10" x14ac:dyDescent="0.2">
      <c r="A369" s="77" t="s">
        <v>179</v>
      </c>
      <c r="B369" s="90">
        <f>1589000-100000+156890</f>
        <v>1645890</v>
      </c>
      <c r="C369" s="90"/>
      <c r="D369" s="558"/>
      <c r="E369" s="558">
        <f t="shared" si="100"/>
        <v>1645890</v>
      </c>
      <c r="F369" s="558">
        <v>1646000</v>
      </c>
      <c r="G369" s="558">
        <f t="shared" si="101"/>
        <v>110</v>
      </c>
      <c r="H369" s="814">
        <f t="shared" si="102"/>
        <v>6.6833141947517761E-5</v>
      </c>
      <c r="I369" s="558">
        <f t="shared" si="103"/>
        <v>110</v>
      </c>
      <c r="J369" s="814">
        <f t="shared" si="104"/>
        <v>6.6833141947517761E-5</v>
      </c>
    </row>
    <row r="370" spans="1:10" x14ac:dyDescent="0.2">
      <c r="A370" s="77" t="s">
        <v>163</v>
      </c>
      <c r="B370" s="90">
        <f>1680000+240000</f>
        <v>1920000</v>
      </c>
      <c r="C370" s="90">
        <v>312000</v>
      </c>
      <c r="D370" s="558"/>
      <c r="E370" s="558">
        <f t="shared" si="100"/>
        <v>2232000</v>
      </c>
      <c r="F370" s="558">
        <v>2100000</v>
      </c>
      <c r="G370" s="558">
        <f t="shared" si="101"/>
        <v>180000</v>
      </c>
      <c r="H370" s="814">
        <f t="shared" si="102"/>
        <v>9.375E-2</v>
      </c>
      <c r="I370" s="558">
        <f t="shared" si="103"/>
        <v>-132000</v>
      </c>
      <c r="J370" s="814">
        <f t="shared" si="104"/>
        <v>-5.9139784946236562E-2</v>
      </c>
    </row>
    <row r="371" spans="1:10" x14ac:dyDescent="0.2">
      <c r="A371" s="77" t="s">
        <v>356</v>
      </c>
      <c r="B371" s="90">
        <v>15000</v>
      </c>
      <c r="C371" s="90">
        <v>-5300</v>
      </c>
      <c r="D371" s="558"/>
      <c r="E371" s="558">
        <f t="shared" si="100"/>
        <v>9700</v>
      </c>
      <c r="F371" s="558">
        <v>10000</v>
      </c>
      <c r="G371" s="558">
        <f t="shared" si="101"/>
        <v>-5000</v>
      </c>
      <c r="H371" s="814">
        <f t="shared" si="102"/>
        <v>-0.33333333333333331</v>
      </c>
      <c r="I371" s="558">
        <f t="shared" si="103"/>
        <v>300</v>
      </c>
      <c r="J371" s="814">
        <f t="shared" si="104"/>
        <v>3.0927835051546393E-2</v>
      </c>
    </row>
    <row r="372" spans="1:10" x14ac:dyDescent="0.2">
      <c r="A372" s="76" t="s">
        <v>124</v>
      </c>
      <c r="B372" s="88">
        <f>B373+B375+B374</f>
        <v>2312451</v>
      </c>
      <c r="C372" s="88">
        <f>C373+C375+C374</f>
        <v>526000</v>
      </c>
      <c r="D372" s="549">
        <f>D373+D375+D374</f>
        <v>-160000</v>
      </c>
      <c r="E372" s="576">
        <f t="shared" si="100"/>
        <v>2678451</v>
      </c>
      <c r="F372" s="549">
        <f>F373+F375+F374</f>
        <v>3093000</v>
      </c>
      <c r="G372" s="549">
        <f t="shared" si="101"/>
        <v>780549</v>
      </c>
      <c r="H372" s="815">
        <f t="shared" si="102"/>
        <v>0.33754185494092631</v>
      </c>
      <c r="I372" s="549">
        <f t="shared" si="103"/>
        <v>414549</v>
      </c>
      <c r="J372" s="815">
        <f t="shared" si="104"/>
        <v>0.1547719185454578</v>
      </c>
    </row>
    <row r="373" spans="1:10" x14ac:dyDescent="0.2">
      <c r="A373" s="77" t="s">
        <v>162</v>
      </c>
      <c r="B373" s="90">
        <f>436000+66000+69000+12000+425894+19757</f>
        <v>1028651</v>
      </c>
      <c r="C373" s="90">
        <f>224000-145000</f>
        <v>79000</v>
      </c>
      <c r="D373" s="558">
        <v>-160000</v>
      </c>
      <c r="E373" s="558">
        <f t="shared" si="100"/>
        <v>947651</v>
      </c>
      <c r="F373" s="558">
        <v>1362000</v>
      </c>
      <c r="G373" s="558">
        <f t="shared" si="101"/>
        <v>333349</v>
      </c>
      <c r="H373" s="814">
        <f t="shared" si="102"/>
        <v>0.32406423558621922</v>
      </c>
      <c r="I373" s="558">
        <f t="shared" si="103"/>
        <v>414349</v>
      </c>
      <c r="J373" s="814">
        <f t="shared" si="104"/>
        <v>0.43723797051868252</v>
      </c>
    </row>
    <row r="374" spans="1:10" x14ac:dyDescent="0.2">
      <c r="A374" s="77" t="s">
        <v>643</v>
      </c>
      <c r="B374" s="90">
        <f>220000+200000+52000</f>
        <v>472000</v>
      </c>
      <c r="C374" s="90">
        <v>48000</v>
      </c>
      <c r="D374" s="558"/>
      <c r="E374" s="558">
        <f t="shared" ref="E374:E437" si="105">B374+C374+D374</f>
        <v>520000</v>
      </c>
      <c r="F374" s="558">
        <v>520000</v>
      </c>
      <c r="G374" s="558">
        <f t="shared" si="101"/>
        <v>48000</v>
      </c>
      <c r="H374" s="814">
        <f t="shared" si="102"/>
        <v>0.10169491525423729</v>
      </c>
      <c r="I374" s="558">
        <f t="shared" si="103"/>
        <v>0</v>
      </c>
      <c r="J374" s="814">
        <f t="shared" si="104"/>
        <v>0</v>
      </c>
    </row>
    <row r="375" spans="1:10" x14ac:dyDescent="0.2">
      <c r="A375" s="77" t="s">
        <v>163</v>
      </c>
      <c r="B375" s="90">
        <f>403000+400000+8800</f>
        <v>811800</v>
      </c>
      <c r="C375" s="90">
        <v>399000</v>
      </c>
      <c r="D375" s="558"/>
      <c r="E375" s="558">
        <f t="shared" si="105"/>
        <v>1210800</v>
      </c>
      <c r="F375" s="558">
        <v>1211000</v>
      </c>
      <c r="G375" s="558">
        <f t="shared" si="101"/>
        <v>399200</v>
      </c>
      <c r="H375" s="814">
        <f t="shared" si="102"/>
        <v>0.49174673564917465</v>
      </c>
      <c r="I375" s="558">
        <f t="shared" si="103"/>
        <v>200</v>
      </c>
      <c r="J375" s="814">
        <f t="shared" si="104"/>
        <v>1.6518004625041294E-4</v>
      </c>
    </row>
    <row r="376" spans="1:10" x14ac:dyDescent="0.2">
      <c r="A376" s="127" t="s">
        <v>126</v>
      </c>
      <c r="B376" s="88">
        <f t="shared" ref="B376" si="106">B377</f>
        <v>2000</v>
      </c>
      <c r="C376" s="88">
        <f t="shared" ref="C376:D376" si="107">C377</f>
        <v>2500</v>
      </c>
      <c r="D376" s="549">
        <f t="shared" si="107"/>
        <v>5500</v>
      </c>
      <c r="E376" s="576">
        <f t="shared" si="105"/>
        <v>10000</v>
      </c>
      <c r="F376" s="549">
        <f>SUM(F377)</f>
        <v>4000</v>
      </c>
      <c r="G376" s="549">
        <f t="shared" si="101"/>
        <v>2000</v>
      </c>
      <c r="H376" s="815">
        <f t="shared" si="102"/>
        <v>1</v>
      </c>
      <c r="I376" s="549">
        <f t="shared" si="103"/>
        <v>-6000</v>
      </c>
      <c r="J376" s="815">
        <f t="shared" si="104"/>
        <v>-0.6</v>
      </c>
    </row>
    <row r="377" spans="1:10" x14ac:dyDescent="0.2">
      <c r="A377" s="77" t="s">
        <v>165</v>
      </c>
      <c r="B377" s="90">
        <v>2000</v>
      </c>
      <c r="C377" s="90">
        <v>2500</v>
      </c>
      <c r="D377" s="558">
        <v>5500</v>
      </c>
      <c r="E377" s="558">
        <f t="shared" si="105"/>
        <v>10000</v>
      </c>
      <c r="F377" s="558">
        <v>4000</v>
      </c>
      <c r="G377" s="558">
        <f t="shared" si="101"/>
        <v>2000</v>
      </c>
      <c r="H377" s="814">
        <f t="shared" si="102"/>
        <v>1</v>
      </c>
      <c r="I377" s="558">
        <f t="shared" si="103"/>
        <v>-6000</v>
      </c>
      <c r="J377" s="814">
        <f t="shared" si="104"/>
        <v>-0.6</v>
      </c>
    </row>
    <row r="378" spans="1:10" x14ac:dyDescent="0.2">
      <c r="A378" s="77"/>
      <c r="B378" s="90"/>
      <c r="C378" s="90"/>
      <c r="D378" s="90"/>
      <c r="E378" s="90">
        <f t="shared" si="105"/>
        <v>0</v>
      </c>
      <c r="F378" s="90"/>
      <c r="G378" s="90">
        <f t="shared" si="101"/>
        <v>0</v>
      </c>
      <c r="H378" s="527"/>
      <c r="I378" s="90">
        <f t="shared" si="103"/>
        <v>0</v>
      </c>
      <c r="J378" s="527"/>
    </row>
    <row r="379" spans="1:10" x14ac:dyDescent="0.2">
      <c r="A379" s="78" t="s">
        <v>823</v>
      </c>
      <c r="B379" s="87">
        <f>SUM(B380,B384)</f>
        <v>1339290</v>
      </c>
      <c r="C379" s="87">
        <f>SUM(C380,C384)</f>
        <v>-5635</v>
      </c>
      <c r="D379" s="87"/>
      <c r="E379" s="87">
        <f t="shared" si="105"/>
        <v>1333655</v>
      </c>
      <c r="F379" s="548">
        <f>SUM(F380,F384)</f>
        <v>1367700</v>
      </c>
      <c r="G379" s="548">
        <f t="shared" si="101"/>
        <v>28410</v>
      </c>
      <c r="H379" s="818">
        <f t="shared" si="102"/>
        <v>2.1212732119257217E-2</v>
      </c>
      <c r="I379" s="548">
        <f t="shared" si="103"/>
        <v>34045</v>
      </c>
      <c r="J379" s="818">
        <f t="shared" si="104"/>
        <v>2.5527591468558212E-2</v>
      </c>
    </row>
    <row r="380" spans="1:10" x14ac:dyDescent="0.2">
      <c r="A380" s="76" t="s">
        <v>136</v>
      </c>
      <c r="B380" s="88">
        <f t="shared" ref="B380" si="108">SUM(B381:B383)</f>
        <v>1333290</v>
      </c>
      <c r="C380" s="88">
        <f t="shared" ref="C380" si="109">SUM(C381:C383)</f>
        <v>-2635</v>
      </c>
      <c r="D380" s="88"/>
      <c r="E380" s="88">
        <f t="shared" si="105"/>
        <v>1330655</v>
      </c>
      <c r="F380" s="549">
        <f>SUM(F381:F383)</f>
        <v>1363700</v>
      </c>
      <c r="G380" s="549">
        <f t="shared" si="101"/>
        <v>30410</v>
      </c>
      <c r="H380" s="815">
        <f t="shared" si="102"/>
        <v>2.2808241267841204E-2</v>
      </c>
      <c r="I380" s="549">
        <f t="shared" si="103"/>
        <v>33045</v>
      </c>
      <c r="J380" s="815">
        <f t="shared" si="104"/>
        <v>2.483363456342929E-2</v>
      </c>
    </row>
    <row r="381" spans="1:10" x14ac:dyDescent="0.2">
      <c r="A381" s="79" t="s">
        <v>357</v>
      </c>
      <c r="B381" s="89">
        <v>1297700</v>
      </c>
      <c r="C381" s="89"/>
      <c r="D381" s="89"/>
      <c r="E381" s="89">
        <f t="shared" si="105"/>
        <v>1297700</v>
      </c>
      <c r="F381" s="553">
        <v>1328110</v>
      </c>
      <c r="G381" s="553">
        <f t="shared" si="101"/>
        <v>30410</v>
      </c>
      <c r="H381" s="819">
        <f t="shared" si="102"/>
        <v>2.3433767434692148E-2</v>
      </c>
      <c r="I381" s="553">
        <f t="shared" si="103"/>
        <v>30410</v>
      </c>
      <c r="J381" s="819">
        <f t="shared" si="104"/>
        <v>2.3433767434692148E-2</v>
      </c>
    </row>
    <row r="382" spans="1:10" ht="25.5" x14ac:dyDescent="0.2">
      <c r="A382" s="79" t="s">
        <v>358</v>
      </c>
      <c r="B382" s="89">
        <v>14290</v>
      </c>
      <c r="C382" s="89">
        <v>-2635</v>
      </c>
      <c r="D382" s="89"/>
      <c r="E382" s="89">
        <f t="shared" si="105"/>
        <v>11655</v>
      </c>
      <c r="F382" s="553">
        <v>14290</v>
      </c>
      <c r="G382" s="553">
        <f t="shared" si="101"/>
        <v>0</v>
      </c>
      <c r="H382" s="819">
        <f t="shared" si="102"/>
        <v>0</v>
      </c>
      <c r="I382" s="553">
        <f t="shared" si="103"/>
        <v>2635</v>
      </c>
      <c r="J382" s="819">
        <f t="shared" si="104"/>
        <v>0.22608322608322609</v>
      </c>
    </row>
    <row r="383" spans="1:10" x14ac:dyDescent="0.2">
      <c r="A383" s="79" t="s">
        <v>359</v>
      </c>
      <c r="B383" s="89">
        <f>12000+9300</f>
        <v>21300</v>
      </c>
      <c r="C383" s="89"/>
      <c r="D383" s="89"/>
      <c r="E383" s="89">
        <f t="shared" si="105"/>
        <v>21300</v>
      </c>
      <c r="F383" s="553">
        <v>21300</v>
      </c>
      <c r="G383" s="553">
        <f t="shared" si="101"/>
        <v>0</v>
      </c>
      <c r="H383" s="819">
        <f t="shared" si="102"/>
        <v>0</v>
      </c>
      <c r="I383" s="553">
        <f t="shared" si="103"/>
        <v>0</v>
      </c>
      <c r="J383" s="819">
        <f t="shared" si="104"/>
        <v>0</v>
      </c>
    </row>
    <row r="384" spans="1:10" x14ac:dyDescent="0.2">
      <c r="A384" s="76" t="s">
        <v>125</v>
      </c>
      <c r="B384" s="88">
        <f t="shared" ref="B384" si="110">SUM(B385)</f>
        <v>6000</v>
      </c>
      <c r="C384" s="88">
        <f t="shared" ref="C384" si="111">SUM(C385)</f>
        <v>-3000</v>
      </c>
      <c r="D384" s="88"/>
      <c r="E384" s="88">
        <f t="shared" si="105"/>
        <v>3000</v>
      </c>
      <c r="F384" s="549">
        <f t="shared" ref="F384" si="112">SUM(F385)</f>
        <v>4000</v>
      </c>
      <c r="G384" s="549">
        <f t="shared" si="101"/>
        <v>-2000</v>
      </c>
      <c r="H384" s="815">
        <f t="shared" si="102"/>
        <v>-0.33333333333333331</v>
      </c>
      <c r="I384" s="549">
        <f t="shared" si="103"/>
        <v>1000</v>
      </c>
      <c r="J384" s="815">
        <f t="shared" si="104"/>
        <v>0.33333333333333331</v>
      </c>
    </row>
    <row r="385" spans="1:10" ht="25.5" x14ac:dyDescent="0.2">
      <c r="A385" s="79" t="s">
        <v>164</v>
      </c>
      <c r="B385" s="89">
        <v>6000</v>
      </c>
      <c r="C385" s="89">
        <v>-3000</v>
      </c>
      <c r="D385" s="89"/>
      <c r="E385" s="89">
        <f t="shared" si="105"/>
        <v>3000</v>
      </c>
      <c r="F385" s="553">
        <v>4000</v>
      </c>
      <c r="G385" s="553">
        <f t="shared" si="101"/>
        <v>-2000</v>
      </c>
      <c r="H385" s="819">
        <f t="shared" si="102"/>
        <v>-0.33333333333333331</v>
      </c>
      <c r="I385" s="553">
        <f t="shared" si="103"/>
        <v>1000</v>
      </c>
      <c r="J385" s="819">
        <f t="shared" si="104"/>
        <v>0.33333333333333331</v>
      </c>
    </row>
    <row r="386" spans="1:10" x14ac:dyDescent="0.2">
      <c r="A386" s="76"/>
      <c r="B386" s="88"/>
      <c r="C386" s="88"/>
      <c r="D386" s="88"/>
      <c r="E386" s="88">
        <f t="shared" si="105"/>
        <v>0</v>
      </c>
      <c r="F386" s="88"/>
      <c r="G386" s="88">
        <f t="shared" si="101"/>
        <v>0</v>
      </c>
      <c r="H386" s="526"/>
      <c r="I386" s="88">
        <f t="shared" si="103"/>
        <v>0</v>
      </c>
      <c r="J386" s="526"/>
    </row>
    <row r="387" spans="1:10" x14ac:dyDescent="0.2">
      <c r="A387" s="78" t="s">
        <v>824</v>
      </c>
      <c r="B387" s="87">
        <f>SUM(B389,B402,B426,B417)</f>
        <v>3463227</v>
      </c>
      <c r="C387" s="87">
        <f>SUM(C389,C402,C426,C417)</f>
        <v>-98426</v>
      </c>
      <c r="D387" s="548">
        <f>SUM(D389,D402,D426,D417)</f>
        <v>-43449</v>
      </c>
      <c r="E387" s="87">
        <f t="shared" si="105"/>
        <v>3321352</v>
      </c>
      <c r="F387" s="548">
        <f>SUM(F389,F402,F426,F417)</f>
        <v>3622320</v>
      </c>
      <c r="G387" s="548">
        <f t="shared" si="101"/>
        <v>159093</v>
      </c>
      <c r="H387" s="818">
        <f t="shared" si="102"/>
        <v>4.5937791545284212E-2</v>
      </c>
      <c r="I387" s="548">
        <f t="shared" si="103"/>
        <v>300968</v>
      </c>
      <c r="J387" s="818">
        <f t="shared" si="104"/>
        <v>9.0616110547752843E-2</v>
      </c>
    </row>
    <row r="388" spans="1:10" x14ac:dyDescent="0.2">
      <c r="A388" s="76"/>
      <c r="B388" s="88"/>
      <c r="C388" s="88"/>
      <c r="D388" s="549"/>
      <c r="E388" s="88">
        <f t="shared" si="105"/>
        <v>0</v>
      </c>
      <c r="F388" s="549"/>
      <c r="G388" s="549">
        <f t="shared" si="101"/>
        <v>0</v>
      </c>
      <c r="H388" s="815"/>
      <c r="I388" s="549">
        <f t="shared" si="103"/>
        <v>0</v>
      </c>
      <c r="J388" s="815"/>
    </row>
    <row r="389" spans="1:10" x14ac:dyDescent="0.2">
      <c r="A389" s="76" t="s">
        <v>825</v>
      </c>
      <c r="B389" s="88">
        <f>B390+B392+B396+B398</f>
        <v>521109</v>
      </c>
      <c r="C389" s="88">
        <f>C390+C392+C396+C398</f>
        <v>16324</v>
      </c>
      <c r="D389" s="549">
        <f>D390+D392+D396+D398</f>
        <v>-113860</v>
      </c>
      <c r="E389" s="88">
        <f t="shared" si="105"/>
        <v>423573</v>
      </c>
      <c r="F389" s="549">
        <f>F390+F392+F396+F398</f>
        <v>606202</v>
      </c>
      <c r="G389" s="549">
        <f t="shared" si="101"/>
        <v>85093</v>
      </c>
      <c r="H389" s="815">
        <f t="shared" si="102"/>
        <v>0.16329213273998339</v>
      </c>
      <c r="I389" s="549">
        <f t="shared" si="103"/>
        <v>182629</v>
      </c>
      <c r="J389" s="815">
        <f t="shared" si="104"/>
        <v>0.43116298725367291</v>
      </c>
    </row>
    <row r="390" spans="1:10" x14ac:dyDescent="0.2">
      <c r="A390" s="76" t="s">
        <v>131</v>
      </c>
      <c r="B390" s="88">
        <v>132200</v>
      </c>
      <c r="C390" s="88"/>
      <c r="D390" s="549">
        <f>SUM(D391)</f>
        <v>-10200</v>
      </c>
      <c r="E390" s="88">
        <f t="shared" si="105"/>
        <v>122000</v>
      </c>
      <c r="F390" s="549">
        <f>SUM(F391)</f>
        <v>130000</v>
      </c>
      <c r="G390" s="549">
        <f t="shared" ref="G390:G453" si="113">F390-B390</f>
        <v>-2200</v>
      </c>
      <c r="H390" s="815">
        <f t="shared" ref="H390:H453" si="114">G390/B390</f>
        <v>-1.6641452344931921E-2</v>
      </c>
      <c r="I390" s="549">
        <f t="shared" ref="I390:I453" si="115">F390-E390</f>
        <v>8000</v>
      </c>
      <c r="J390" s="815">
        <f t="shared" ref="J390:J453" si="116">I390/E390</f>
        <v>6.5573770491803282E-2</v>
      </c>
    </row>
    <row r="391" spans="1:10" x14ac:dyDescent="0.2">
      <c r="A391" s="77" t="s">
        <v>360</v>
      </c>
      <c r="B391" s="90">
        <v>132200</v>
      </c>
      <c r="C391" s="90"/>
      <c r="D391" s="558">
        <v>-10200</v>
      </c>
      <c r="E391" s="90">
        <f t="shared" si="105"/>
        <v>122000</v>
      </c>
      <c r="F391" s="558">
        <v>130000</v>
      </c>
      <c r="G391" s="558">
        <f t="shared" si="113"/>
        <v>-2200</v>
      </c>
      <c r="H391" s="814">
        <f t="shared" si="114"/>
        <v>-1.6641452344931921E-2</v>
      </c>
      <c r="I391" s="558">
        <f t="shared" si="115"/>
        <v>8000</v>
      </c>
      <c r="J391" s="814">
        <f t="shared" si="116"/>
        <v>6.5573770491803282E-2</v>
      </c>
    </row>
    <row r="392" spans="1:10" x14ac:dyDescent="0.2">
      <c r="A392" s="76" t="s">
        <v>124</v>
      </c>
      <c r="B392" s="88">
        <f>SUM(B393:B395)</f>
        <v>233309</v>
      </c>
      <c r="C392" s="88">
        <f>SUM(C393:C395)</f>
        <v>15329</v>
      </c>
      <c r="D392" s="549">
        <f>SUM(D393:D395)</f>
        <v>-102736</v>
      </c>
      <c r="E392" s="88">
        <f t="shared" si="105"/>
        <v>145902</v>
      </c>
      <c r="F392" s="549">
        <f>SUM(F393:F395)</f>
        <v>303602</v>
      </c>
      <c r="G392" s="549">
        <f t="shared" si="113"/>
        <v>70293</v>
      </c>
      <c r="H392" s="815">
        <f t="shared" si="114"/>
        <v>0.30128713422971254</v>
      </c>
      <c r="I392" s="549">
        <f t="shared" si="115"/>
        <v>157700</v>
      </c>
      <c r="J392" s="815">
        <f t="shared" si="116"/>
        <v>1.0808624967443901</v>
      </c>
    </row>
    <row r="393" spans="1:10" x14ac:dyDescent="0.2">
      <c r="A393" s="77" t="s">
        <v>162</v>
      </c>
      <c r="B393" s="90">
        <f>249053-16244</f>
        <v>232809</v>
      </c>
      <c r="C393" s="90">
        <v>-50671</v>
      </c>
      <c r="D393" s="558">
        <v>-102736</v>
      </c>
      <c r="E393" s="90">
        <f t="shared" si="105"/>
        <v>79402</v>
      </c>
      <c r="F393" s="558">
        <v>237102</v>
      </c>
      <c r="G393" s="558">
        <f t="shared" si="113"/>
        <v>4293</v>
      </c>
      <c r="H393" s="814">
        <f t="shared" si="114"/>
        <v>1.8440008762547838E-2</v>
      </c>
      <c r="I393" s="558">
        <f t="shared" si="115"/>
        <v>157700</v>
      </c>
      <c r="J393" s="814">
        <f t="shared" si="116"/>
        <v>1.9860960681091155</v>
      </c>
    </row>
    <row r="394" spans="1:10" s="58" customFormat="1" x14ac:dyDescent="0.2">
      <c r="A394" s="516" t="s">
        <v>957</v>
      </c>
      <c r="B394" s="515"/>
      <c r="C394" s="515">
        <v>66000</v>
      </c>
      <c r="D394" s="515"/>
      <c r="E394" s="515">
        <f t="shared" si="105"/>
        <v>66000</v>
      </c>
      <c r="F394" s="515">
        <v>66000</v>
      </c>
      <c r="G394" s="515">
        <f t="shared" si="113"/>
        <v>66000</v>
      </c>
      <c r="H394" s="826"/>
      <c r="I394" s="515">
        <f t="shared" si="115"/>
        <v>0</v>
      </c>
      <c r="J394" s="826">
        <f t="shared" si="116"/>
        <v>0</v>
      </c>
    </row>
    <row r="395" spans="1:10" x14ac:dyDescent="0.2">
      <c r="A395" s="77" t="s">
        <v>163</v>
      </c>
      <c r="B395" s="90">
        <v>500</v>
      </c>
      <c r="C395" s="90"/>
      <c r="D395" s="558"/>
      <c r="E395" s="90">
        <f t="shared" si="105"/>
        <v>500</v>
      </c>
      <c r="F395" s="558">
        <v>500</v>
      </c>
      <c r="G395" s="558">
        <f t="shared" si="113"/>
        <v>0</v>
      </c>
      <c r="H395" s="814">
        <f t="shared" si="114"/>
        <v>0</v>
      </c>
      <c r="I395" s="558">
        <f t="shared" si="115"/>
        <v>0</v>
      </c>
      <c r="J395" s="814">
        <f t="shared" si="116"/>
        <v>0</v>
      </c>
    </row>
    <row r="396" spans="1:10" x14ac:dyDescent="0.2">
      <c r="A396" s="76" t="s">
        <v>130</v>
      </c>
      <c r="B396" s="88">
        <f>SUM(B397:B397)</f>
        <v>153000</v>
      </c>
      <c r="C396" s="88"/>
      <c r="D396" s="549"/>
      <c r="E396" s="88">
        <f t="shared" si="105"/>
        <v>153000</v>
      </c>
      <c r="F396" s="549">
        <f>SUM(F397:F397)</f>
        <v>170000</v>
      </c>
      <c r="G396" s="549">
        <f t="shared" si="113"/>
        <v>17000</v>
      </c>
      <c r="H396" s="815">
        <f t="shared" si="114"/>
        <v>0.1111111111111111</v>
      </c>
      <c r="I396" s="549">
        <f t="shared" si="115"/>
        <v>17000</v>
      </c>
      <c r="J396" s="815">
        <f t="shared" si="116"/>
        <v>0.1111111111111111</v>
      </c>
    </row>
    <row r="397" spans="1:10" x14ac:dyDescent="0.2">
      <c r="A397" s="77" t="s">
        <v>361</v>
      </c>
      <c r="B397" s="90">
        <v>153000</v>
      </c>
      <c r="C397" s="90"/>
      <c r="D397" s="558"/>
      <c r="E397" s="90">
        <f t="shared" si="105"/>
        <v>153000</v>
      </c>
      <c r="F397" s="558">
        <v>170000</v>
      </c>
      <c r="G397" s="558">
        <f t="shared" si="113"/>
        <v>17000</v>
      </c>
      <c r="H397" s="814">
        <f t="shared" si="114"/>
        <v>0.1111111111111111</v>
      </c>
      <c r="I397" s="558">
        <f t="shared" si="115"/>
        <v>17000</v>
      </c>
      <c r="J397" s="814">
        <f t="shared" si="116"/>
        <v>0.1111111111111111</v>
      </c>
    </row>
    <row r="398" spans="1:10" x14ac:dyDescent="0.2">
      <c r="A398" s="124" t="s">
        <v>125</v>
      </c>
      <c r="B398" s="88">
        <f t="shared" ref="B398" si="117">SUM(B400)</f>
        <v>2600</v>
      </c>
      <c r="C398" s="88">
        <f>SUM(C399:C400)</f>
        <v>995</v>
      </c>
      <c r="D398" s="549">
        <f>SUM(D399:D400)</f>
        <v>-924</v>
      </c>
      <c r="E398" s="88">
        <f t="shared" si="105"/>
        <v>2671</v>
      </c>
      <c r="F398" s="549">
        <f t="shared" ref="F398" si="118">SUM(F400)</f>
        <v>2600</v>
      </c>
      <c r="G398" s="549">
        <f t="shared" si="113"/>
        <v>0</v>
      </c>
      <c r="H398" s="815">
        <f t="shared" si="114"/>
        <v>0</v>
      </c>
      <c r="I398" s="549">
        <f t="shared" si="115"/>
        <v>-71</v>
      </c>
      <c r="J398" s="815">
        <f t="shared" si="116"/>
        <v>-2.6581804567577687E-2</v>
      </c>
    </row>
    <row r="399" spans="1:10" s="58" customFormat="1" x14ac:dyDescent="0.2">
      <c r="A399" s="517" t="s">
        <v>958</v>
      </c>
      <c r="B399" s="514"/>
      <c r="C399" s="514">
        <v>995</v>
      </c>
      <c r="D399" s="514"/>
      <c r="E399" s="514">
        <f t="shared" si="105"/>
        <v>995</v>
      </c>
      <c r="F399" s="514"/>
      <c r="G399" s="514">
        <f t="shared" si="113"/>
        <v>0</v>
      </c>
      <c r="H399" s="824"/>
      <c r="I399" s="514">
        <f t="shared" si="115"/>
        <v>-995</v>
      </c>
      <c r="J399" s="824">
        <f t="shared" si="116"/>
        <v>-1</v>
      </c>
    </row>
    <row r="400" spans="1:10" ht="25.5" x14ac:dyDescent="0.2">
      <c r="A400" s="79" t="s">
        <v>164</v>
      </c>
      <c r="B400" s="89">
        <v>2600</v>
      </c>
      <c r="C400" s="89"/>
      <c r="D400" s="553">
        <v>-924</v>
      </c>
      <c r="E400" s="89">
        <f t="shared" si="105"/>
        <v>1676</v>
      </c>
      <c r="F400" s="553">
        <v>2600</v>
      </c>
      <c r="G400" s="553">
        <f t="shared" si="113"/>
        <v>0</v>
      </c>
      <c r="H400" s="819">
        <f t="shared" si="114"/>
        <v>0</v>
      </c>
      <c r="I400" s="553">
        <f t="shared" si="115"/>
        <v>924</v>
      </c>
      <c r="J400" s="819">
        <f t="shared" si="116"/>
        <v>0.55131264916467781</v>
      </c>
    </row>
    <row r="401" spans="1:10" x14ac:dyDescent="0.2">
      <c r="A401" s="77"/>
      <c r="B401" s="90"/>
      <c r="C401" s="90"/>
      <c r="D401" s="558"/>
      <c r="E401" s="90">
        <f t="shared" si="105"/>
        <v>0</v>
      </c>
      <c r="F401" s="558"/>
      <c r="G401" s="558">
        <f t="shared" si="113"/>
        <v>0</v>
      </c>
      <c r="H401" s="814"/>
      <c r="I401" s="558">
        <f t="shared" si="115"/>
        <v>0</v>
      </c>
      <c r="J401" s="814"/>
    </row>
    <row r="402" spans="1:10" x14ac:dyDescent="0.2">
      <c r="A402" s="76" t="s">
        <v>826</v>
      </c>
      <c r="B402" s="88">
        <f>SUM(B403+B408+B411+B413)</f>
        <v>1730400</v>
      </c>
      <c r="C402" s="88">
        <f>SUM(C403+C408+C411+C413)</f>
        <v>-207000</v>
      </c>
      <c r="D402" s="549">
        <f>SUM(D403+D408+D411+D413)</f>
        <v>-167400</v>
      </c>
      <c r="E402" s="88">
        <f t="shared" si="105"/>
        <v>1356000</v>
      </c>
      <c r="F402" s="549">
        <f>SUM(F403+F408+F411+F413)</f>
        <v>1730400</v>
      </c>
      <c r="G402" s="549">
        <f t="shared" si="113"/>
        <v>0</v>
      </c>
      <c r="H402" s="815">
        <f t="shared" si="114"/>
        <v>0</v>
      </c>
      <c r="I402" s="549">
        <f t="shared" si="115"/>
        <v>374400</v>
      </c>
      <c r="J402" s="815">
        <f t="shared" si="116"/>
        <v>0.27610619469026548</v>
      </c>
    </row>
    <row r="403" spans="1:10" x14ac:dyDescent="0.2">
      <c r="A403" s="76" t="s">
        <v>128</v>
      </c>
      <c r="B403" s="88">
        <f>SUM(B407+B406+B405+B404)</f>
        <v>1531000</v>
      </c>
      <c r="C403" s="88">
        <f>SUM(C407+C406+C405+C404)</f>
        <v>-202000</v>
      </c>
      <c r="D403" s="549">
        <f>SUM(D407+D406+D405+D404)</f>
        <v>-178000</v>
      </c>
      <c r="E403" s="88">
        <f t="shared" si="105"/>
        <v>1151000</v>
      </c>
      <c r="F403" s="549">
        <f>SUM(F407+F406+F405+F404)</f>
        <v>1503500</v>
      </c>
      <c r="G403" s="549">
        <f t="shared" si="113"/>
        <v>-27500</v>
      </c>
      <c r="H403" s="815">
        <f t="shared" si="114"/>
        <v>-1.7962116263879817E-2</v>
      </c>
      <c r="I403" s="549">
        <f t="shared" si="115"/>
        <v>352500</v>
      </c>
      <c r="J403" s="815">
        <f t="shared" si="116"/>
        <v>0.30625543006081668</v>
      </c>
    </row>
    <row r="404" spans="1:10" x14ac:dyDescent="0.2">
      <c r="A404" s="77" t="s">
        <v>170</v>
      </c>
      <c r="B404" s="90">
        <v>1368000</v>
      </c>
      <c r="C404" s="90">
        <f>-130000-68000</f>
        <v>-198000</v>
      </c>
      <c r="D404" s="558">
        <v>-160000</v>
      </c>
      <c r="E404" s="90">
        <f t="shared" si="105"/>
        <v>1010000</v>
      </c>
      <c r="F404" s="558">
        <v>1350500</v>
      </c>
      <c r="G404" s="558">
        <f t="shared" si="113"/>
        <v>-17500</v>
      </c>
      <c r="H404" s="814">
        <f t="shared" si="114"/>
        <v>-1.2792397660818713E-2</v>
      </c>
      <c r="I404" s="558">
        <f t="shared" si="115"/>
        <v>340500</v>
      </c>
      <c r="J404" s="814">
        <f t="shared" si="116"/>
        <v>0.33712871287128715</v>
      </c>
    </row>
    <row r="405" spans="1:10" x14ac:dyDescent="0.2">
      <c r="A405" s="79" t="s">
        <v>165</v>
      </c>
      <c r="B405" s="89">
        <v>114000</v>
      </c>
      <c r="C405" s="89">
        <v>-4000</v>
      </c>
      <c r="D405" s="553">
        <v>5000</v>
      </c>
      <c r="E405" s="89">
        <f t="shared" si="105"/>
        <v>115000</v>
      </c>
      <c r="F405" s="553">
        <v>114000</v>
      </c>
      <c r="G405" s="553">
        <f t="shared" si="113"/>
        <v>0</v>
      </c>
      <c r="H405" s="819">
        <f t="shared" si="114"/>
        <v>0</v>
      </c>
      <c r="I405" s="553">
        <f t="shared" si="115"/>
        <v>-1000</v>
      </c>
      <c r="J405" s="819">
        <f t="shared" si="116"/>
        <v>-8.6956521739130436E-3</v>
      </c>
    </row>
    <row r="406" spans="1:10" ht="25.5" x14ac:dyDescent="0.2">
      <c r="A406" s="79" t="s">
        <v>175</v>
      </c>
      <c r="B406" s="89">
        <v>20000</v>
      </c>
      <c r="C406" s="89"/>
      <c r="D406" s="553">
        <v>-12000</v>
      </c>
      <c r="E406" s="89">
        <f t="shared" si="105"/>
        <v>8000</v>
      </c>
      <c r="F406" s="553">
        <v>15000</v>
      </c>
      <c r="G406" s="553">
        <f t="shared" si="113"/>
        <v>-5000</v>
      </c>
      <c r="H406" s="819">
        <f t="shared" si="114"/>
        <v>-0.25</v>
      </c>
      <c r="I406" s="553">
        <f t="shared" si="115"/>
        <v>7000</v>
      </c>
      <c r="J406" s="819">
        <f t="shared" si="116"/>
        <v>0.875</v>
      </c>
    </row>
    <row r="407" spans="1:10" x14ac:dyDescent="0.2">
      <c r="A407" s="79" t="s">
        <v>310</v>
      </c>
      <c r="B407" s="89">
        <v>29000</v>
      </c>
      <c r="C407" s="89"/>
      <c r="D407" s="553">
        <v>-11000</v>
      </c>
      <c r="E407" s="89">
        <f t="shared" si="105"/>
        <v>18000</v>
      </c>
      <c r="F407" s="553">
        <v>24000</v>
      </c>
      <c r="G407" s="553">
        <f t="shared" si="113"/>
        <v>-5000</v>
      </c>
      <c r="H407" s="819">
        <f t="shared" si="114"/>
        <v>-0.17241379310344829</v>
      </c>
      <c r="I407" s="553">
        <f t="shared" si="115"/>
        <v>6000</v>
      </c>
      <c r="J407" s="819">
        <f t="shared" si="116"/>
        <v>0.33333333333333331</v>
      </c>
    </row>
    <row r="408" spans="1:10" x14ac:dyDescent="0.2">
      <c r="A408" s="76" t="s">
        <v>124</v>
      </c>
      <c r="B408" s="88">
        <f t="shared" ref="B408" si="119">SUM(B409:B410)</f>
        <v>100000</v>
      </c>
      <c r="C408" s="88">
        <f t="shared" ref="C408" si="120">SUM(C409:C410)</f>
        <v>-5000</v>
      </c>
      <c r="D408" s="549">
        <f t="shared" ref="D408" si="121">SUM(D409:D410)</f>
        <v>12600</v>
      </c>
      <c r="E408" s="88">
        <f t="shared" si="105"/>
        <v>107600</v>
      </c>
      <c r="F408" s="549">
        <f t="shared" ref="F408" si="122">SUM(F409:F410)</f>
        <v>126500</v>
      </c>
      <c r="G408" s="549">
        <f t="shared" si="113"/>
        <v>26500</v>
      </c>
      <c r="H408" s="815">
        <f t="shared" si="114"/>
        <v>0.26500000000000001</v>
      </c>
      <c r="I408" s="549">
        <f t="shared" si="115"/>
        <v>18900</v>
      </c>
      <c r="J408" s="815">
        <f t="shared" si="116"/>
        <v>0.17565055762081785</v>
      </c>
    </row>
    <row r="409" spans="1:10" x14ac:dyDescent="0.2">
      <c r="A409" s="77" t="s">
        <v>163</v>
      </c>
      <c r="B409" s="90">
        <v>10000</v>
      </c>
      <c r="C409" s="90"/>
      <c r="D409" s="558"/>
      <c r="E409" s="90">
        <f t="shared" si="105"/>
        <v>10000</v>
      </c>
      <c r="F409" s="558">
        <v>10000</v>
      </c>
      <c r="G409" s="558">
        <f t="shared" si="113"/>
        <v>0</v>
      </c>
      <c r="H409" s="814">
        <f t="shared" si="114"/>
        <v>0</v>
      </c>
      <c r="I409" s="558">
        <f t="shared" si="115"/>
        <v>0</v>
      </c>
      <c r="J409" s="814">
        <f t="shared" si="116"/>
        <v>0</v>
      </c>
    </row>
    <row r="410" spans="1:10" x14ac:dyDescent="0.2">
      <c r="A410" s="77" t="s">
        <v>311</v>
      </c>
      <c r="B410" s="90">
        <v>90000</v>
      </c>
      <c r="C410" s="90">
        <v>-5000</v>
      </c>
      <c r="D410" s="558">
        <v>12600</v>
      </c>
      <c r="E410" s="90">
        <f t="shared" si="105"/>
        <v>97600</v>
      </c>
      <c r="F410" s="558">
        <v>116500</v>
      </c>
      <c r="G410" s="558">
        <f t="shared" si="113"/>
        <v>26500</v>
      </c>
      <c r="H410" s="814">
        <f t="shared" si="114"/>
        <v>0.29444444444444445</v>
      </c>
      <c r="I410" s="558">
        <f t="shared" si="115"/>
        <v>18900</v>
      </c>
      <c r="J410" s="814">
        <f t="shared" si="116"/>
        <v>0.19364754098360656</v>
      </c>
    </row>
    <row r="411" spans="1:10" x14ac:dyDescent="0.2">
      <c r="A411" s="81" t="s">
        <v>131</v>
      </c>
      <c r="B411" s="91">
        <f t="shared" ref="B411" si="123">B412</f>
        <v>64000</v>
      </c>
      <c r="C411" s="91"/>
      <c r="D411" s="560">
        <f t="shared" ref="D411" si="124">D412</f>
        <v>-2000</v>
      </c>
      <c r="E411" s="91">
        <f t="shared" si="105"/>
        <v>62000</v>
      </c>
      <c r="F411" s="560">
        <f>SUM(F412)</f>
        <v>65000</v>
      </c>
      <c r="G411" s="560">
        <f t="shared" si="113"/>
        <v>1000</v>
      </c>
      <c r="H411" s="820">
        <f t="shared" si="114"/>
        <v>1.5625E-2</v>
      </c>
      <c r="I411" s="560">
        <f t="shared" si="115"/>
        <v>3000</v>
      </c>
      <c r="J411" s="820">
        <f t="shared" si="116"/>
        <v>4.8387096774193547E-2</v>
      </c>
    </row>
    <row r="412" spans="1:10" x14ac:dyDescent="0.2">
      <c r="A412" s="77" t="s">
        <v>176</v>
      </c>
      <c r="B412" s="90">
        <v>64000</v>
      </c>
      <c r="C412" s="90"/>
      <c r="D412" s="558">
        <v>-2000</v>
      </c>
      <c r="E412" s="90">
        <f t="shared" si="105"/>
        <v>62000</v>
      </c>
      <c r="F412" s="558">
        <v>65000</v>
      </c>
      <c r="G412" s="558">
        <f t="shared" si="113"/>
        <v>1000</v>
      </c>
      <c r="H412" s="814">
        <f t="shared" si="114"/>
        <v>1.5625E-2</v>
      </c>
      <c r="I412" s="558">
        <f t="shared" si="115"/>
        <v>3000</v>
      </c>
      <c r="J412" s="814">
        <f t="shared" si="116"/>
        <v>4.8387096774193547E-2</v>
      </c>
    </row>
    <row r="413" spans="1:10" x14ac:dyDescent="0.2">
      <c r="A413" s="76" t="s">
        <v>125</v>
      </c>
      <c r="B413" s="88">
        <f>SUM(B414:B415)</f>
        <v>35400</v>
      </c>
      <c r="C413" s="88"/>
      <c r="D413" s="549">
        <f>SUM(D414:D415)</f>
        <v>0</v>
      </c>
      <c r="E413" s="88">
        <f t="shared" si="105"/>
        <v>35400</v>
      </c>
      <c r="F413" s="549">
        <f>SUM(F414:F415)</f>
        <v>35400</v>
      </c>
      <c r="G413" s="549">
        <f t="shared" si="113"/>
        <v>0</v>
      </c>
      <c r="H413" s="815">
        <f t="shared" si="114"/>
        <v>0</v>
      </c>
      <c r="I413" s="549">
        <f t="shared" si="115"/>
        <v>0</v>
      </c>
      <c r="J413" s="815">
        <f t="shared" si="116"/>
        <v>0</v>
      </c>
    </row>
    <row r="414" spans="1:10" x14ac:dyDescent="0.2">
      <c r="A414" s="79" t="s">
        <v>177</v>
      </c>
      <c r="B414" s="89">
        <v>5000</v>
      </c>
      <c r="C414" s="89"/>
      <c r="D414" s="553"/>
      <c r="E414" s="89">
        <f t="shared" si="105"/>
        <v>5000</v>
      </c>
      <c r="F414" s="553">
        <v>5000</v>
      </c>
      <c r="G414" s="553">
        <f t="shared" si="113"/>
        <v>0</v>
      </c>
      <c r="H414" s="819">
        <f t="shared" si="114"/>
        <v>0</v>
      </c>
      <c r="I414" s="553">
        <f t="shared" si="115"/>
        <v>0</v>
      </c>
      <c r="J414" s="819">
        <f t="shared" si="116"/>
        <v>0</v>
      </c>
    </row>
    <row r="415" spans="1:10" ht="25.5" x14ac:dyDescent="0.2">
      <c r="A415" s="79" t="s">
        <v>164</v>
      </c>
      <c r="B415" s="277">
        <v>30400</v>
      </c>
      <c r="C415" s="277"/>
      <c r="D415" s="553"/>
      <c r="E415" s="277">
        <f t="shared" si="105"/>
        <v>30400</v>
      </c>
      <c r="F415" s="651">
        <v>30400</v>
      </c>
      <c r="G415" s="651">
        <f t="shared" si="113"/>
        <v>0</v>
      </c>
      <c r="H415" s="827">
        <f t="shared" si="114"/>
        <v>0</v>
      </c>
      <c r="I415" s="651">
        <f t="shared" si="115"/>
        <v>0</v>
      </c>
      <c r="J415" s="827">
        <f t="shared" si="116"/>
        <v>0</v>
      </c>
    </row>
    <row r="416" spans="1:10" x14ac:dyDescent="0.2">
      <c r="A416" s="156"/>
      <c r="B416" s="157"/>
      <c r="C416" s="157"/>
      <c r="D416" s="554"/>
      <c r="E416" s="157">
        <f t="shared" si="105"/>
        <v>0</v>
      </c>
      <c r="F416" s="554"/>
      <c r="G416" s="554">
        <f t="shared" si="113"/>
        <v>0</v>
      </c>
      <c r="H416" s="828"/>
      <c r="I416" s="554">
        <f t="shared" si="115"/>
        <v>0</v>
      </c>
      <c r="J416" s="828"/>
    </row>
    <row r="417" spans="1:10" x14ac:dyDescent="0.2">
      <c r="A417" s="76" t="s">
        <v>827</v>
      </c>
      <c r="B417" s="88">
        <f>B418+B422</f>
        <v>190700</v>
      </c>
      <c r="C417" s="88">
        <f>C418+C422</f>
        <v>-12500</v>
      </c>
      <c r="D417" s="549">
        <f>D418+D422</f>
        <v>36772</v>
      </c>
      <c r="E417" s="88">
        <f t="shared" si="105"/>
        <v>214972</v>
      </c>
      <c r="F417" s="549">
        <f>F418+F422</f>
        <v>261500</v>
      </c>
      <c r="G417" s="549">
        <f t="shared" si="113"/>
        <v>70800</v>
      </c>
      <c r="H417" s="815">
        <f t="shared" si="114"/>
        <v>0.37126376507603565</v>
      </c>
      <c r="I417" s="549">
        <f t="shared" si="115"/>
        <v>46528</v>
      </c>
      <c r="J417" s="815">
        <f t="shared" si="116"/>
        <v>0.21643748953352066</v>
      </c>
    </row>
    <row r="418" spans="1:10" x14ac:dyDescent="0.2">
      <c r="A418" s="76" t="s">
        <v>128</v>
      </c>
      <c r="B418" s="88">
        <f>B419+B420+B421</f>
        <v>134500</v>
      </c>
      <c r="C418" s="88">
        <f>C419+C420+C421</f>
        <v>25000</v>
      </c>
      <c r="D418" s="549">
        <f>D419+D420+D421</f>
        <v>40272</v>
      </c>
      <c r="E418" s="88">
        <f t="shared" si="105"/>
        <v>199772</v>
      </c>
      <c r="F418" s="549">
        <f>F419+F420+F421</f>
        <v>227500</v>
      </c>
      <c r="G418" s="549">
        <f t="shared" si="113"/>
        <v>93000</v>
      </c>
      <c r="H418" s="815">
        <f t="shared" si="114"/>
        <v>0.69144981412639406</v>
      </c>
      <c r="I418" s="549">
        <f t="shared" si="115"/>
        <v>27728</v>
      </c>
      <c r="J418" s="815">
        <f t="shared" si="116"/>
        <v>0.13879822998217969</v>
      </c>
    </row>
    <row r="419" spans="1:10" x14ac:dyDescent="0.2">
      <c r="A419" s="77" t="s">
        <v>170</v>
      </c>
      <c r="B419" s="90">
        <v>95000</v>
      </c>
      <c r="C419" s="90"/>
      <c r="D419" s="558">
        <v>20000</v>
      </c>
      <c r="E419" s="90">
        <f t="shared" si="105"/>
        <v>115000</v>
      </c>
      <c r="F419" s="558">
        <v>151000</v>
      </c>
      <c r="G419" s="558">
        <f t="shared" si="113"/>
        <v>56000</v>
      </c>
      <c r="H419" s="814">
        <f t="shared" si="114"/>
        <v>0.58947368421052626</v>
      </c>
      <c r="I419" s="558">
        <f t="shared" si="115"/>
        <v>36000</v>
      </c>
      <c r="J419" s="814">
        <f t="shared" si="116"/>
        <v>0.31304347826086959</v>
      </c>
    </row>
    <row r="420" spans="1:10" x14ac:dyDescent="0.2">
      <c r="A420" s="77" t="s">
        <v>367</v>
      </c>
      <c r="B420" s="90">
        <v>30000</v>
      </c>
      <c r="C420" s="90">
        <v>25000</v>
      </c>
      <c r="D420" s="558">
        <v>20272</v>
      </c>
      <c r="E420" s="90">
        <f t="shared" si="105"/>
        <v>75272</v>
      </c>
      <c r="F420" s="558">
        <v>67000</v>
      </c>
      <c r="G420" s="558">
        <f t="shared" si="113"/>
        <v>37000</v>
      </c>
      <c r="H420" s="814">
        <f t="shared" si="114"/>
        <v>1.2333333333333334</v>
      </c>
      <c r="I420" s="558">
        <f t="shared" si="115"/>
        <v>-8272</v>
      </c>
      <c r="J420" s="814">
        <f t="shared" si="116"/>
        <v>-0.10989478159209268</v>
      </c>
    </row>
    <row r="421" spans="1:10" x14ac:dyDescent="0.2">
      <c r="A421" s="77" t="s">
        <v>368</v>
      </c>
      <c r="B421" s="90">
        <v>9500</v>
      </c>
      <c r="C421" s="90"/>
      <c r="D421" s="558"/>
      <c r="E421" s="90">
        <f t="shared" si="105"/>
        <v>9500</v>
      </c>
      <c r="F421" s="558">
        <v>9500</v>
      </c>
      <c r="G421" s="558">
        <f t="shared" si="113"/>
        <v>0</v>
      </c>
      <c r="H421" s="814">
        <f t="shared" si="114"/>
        <v>0</v>
      </c>
      <c r="I421" s="558">
        <f t="shared" si="115"/>
        <v>0</v>
      </c>
      <c r="J421" s="814">
        <f t="shared" si="116"/>
        <v>0</v>
      </c>
    </row>
    <row r="422" spans="1:10" x14ac:dyDescent="0.2">
      <c r="A422" s="76" t="s">
        <v>124</v>
      </c>
      <c r="B422" s="88">
        <f t="shared" ref="B422" si="125">B423+B424</f>
        <v>56200</v>
      </c>
      <c r="C422" s="88">
        <f t="shared" ref="C422:D422" si="126">C423+C424</f>
        <v>-37500</v>
      </c>
      <c r="D422" s="549">
        <f t="shared" si="126"/>
        <v>-3500</v>
      </c>
      <c r="E422" s="88">
        <f t="shared" si="105"/>
        <v>15200</v>
      </c>
      <c r="F422" s="549">
        <f t="shared" ref="F422" si="127">F423+F424</f>
        <v>34000</v>
      </c>
      <c r="G422" s="549">
        <f t="shared" si="113"/>
        <v>-22200</v>
      </c>
      <c r="H422" s="815">
        <f t="shared" si="114"/>
        <v>-0.39501779359430605</v>
      </c>
      <c r="I422" s="549">
        <f t="shared" si="115"/>
        <v>18800</v>
      </c>
      <c r="J422" s="815">
        <f t="shared" si="116"/>
        <v>1.236842105263158</v>
      </c>
    </row>
    <row r="423" spans="1:10" x14ac:dyDescent="0.2">
      <c r="A423" s="77" t="s">
        <v>162</v>
      </c>
      <c r="B423" s="90">
        <v>50000</v>
      </c>
      <c r="C423" s="90">
        <f>-25000-12500</f>
        <v>-37500</v>
      </c>
      <c r="D423" s="558">
        <v>-3500</v>
      </c>
      <c r="E423" s="90">
        <f t="shared" si="105"/>
        <v>9000</v>
      </c>
      <c r="F423" s="558">
        <v>27000</v>
      </c>
      <c r="G423" s="558">
        <f t="shared" si="113"/>
        <v>-23000</v>
      </c>
      <c r="H423" s="814">
        <f t="shared" si="114"/>
        <v>-0.46</v>
      </c>
      <c r="I423" s="558">
        <f t="shared" si="115"/>
        <v>18000</v>
      </c>
      <c r="J423" s="814">
        <f t="shared" si="116"/>
        <v>2</v>
      </c>
    </row>
    <row r="424" spans="1:10" x14ac:dyDescent="0.2">
      <c r="A424" s="77" t="s">
        <v>163</v>
      </c>
      <c r="B424" s="90">
        <v>6200</v>
      </c>
      <c r="C424" s="90"/>
      <c r="D424" s="558"/>
      <c r="E424" s="90">
        <f t="shared" si="105"/>
        <v>6200</v>
      </c>
      <c r="F424" s="558">
        <v>7000</v>
      </c>
      <c r="G424" s="558">
        <f t="shared" si="113"/>
        <v>800</v>
      </c>
      <c r="H424" s="814">
        <f t="shared" si="114"/>
        <v>0.12903225806451613</v>
      </c>
      <c r="I424" s="558">
        <f t="shared" si="115"/>
        <v>800</v>
      </c>
      <c r="J424" s="814">
        <f t="shared" si="116"/>
        <v>0.12903225806451613</v>
      </c>
    </row>
    <row r="425" spans="1:10" x14ac:dyDescent="0.2">
      <c r="A425" s="76"/>
      <c r="B425" s="88"/>
      <c r="C425" s="88"/>
      <c r="D425" s="549"/>
      <c r="E425" s="88">
        <f t="shared" si="105"/>
        <v>0</v>
      </c>
      <c r="F425" s="549"/>
      <c r="G425" s="549">
        <f t="shared" si="113"/>
        <v>0</v>
      </c>
      <c r="H425" s="815"/>
      <c r="I425" s="549">
        <f t="shared" si="115"/>
        <v>0</v>
      </c>
      <c r="J425" s="815"/>
    </row>
    <row r="426" spans="1:10" x14ac:dyDescent="0.2">
      <c r="A426" s="76" t="s">
        <v>828</v>
      </c>
      <c r="B426" s="88">
        <f t="shared" ref="B426" si="128">B427+B432</f>
        <v>1021018</v>
      </c>
      <c r="C426" s="88">
        <f t="shared" ref="C426:D426" si="129">C427+C432</f>
        <v>104750</v>
      </c>
      <c r="D426" s="549">
        <f t="shared" si="129"/>
        <v>201039</v>
      </c>
      <c r="E426" s="88">
        <f t="shared" si="105"/>
        <v>1326807</v>
      </c>
      <c r="F426" s="549">
        <f t="shared" ref="F426" si="130">F427+F432</f>
        <v>1024218</v>
      </c>
      <c r="G426" s="549">
        <f t="shared" si="113"/>
        <v>3200</v>
      </c>
      <c r="H426" s="815">
        <f t="shared" si="114"/>
        <v>3.1341269203872999E-3</v>
      </c>
      <c r="I426" s="549">
        <f t="shared" si="115"/>
        <v>-302589</v>
      </c>
      <c r="J426" s="815">
        <f t="shared" si="116"/>
        <v>-0.22805803707698255</v>
      </c>
    </row>
    <row r="427" spans="1:10" x14ac:dyDescent="0.2">
      <c r="A427" s="76" t="s">
        <v>125</v>
      </c>
      <c r="B427" s="88">
        <f>SUM(B428:B431)</f>
        <v>978200</v>
      </c>
      <c r="C427" s="88">
        <f>SUM(C428:C431)</f>
        <v>120420</v>
      </c>
      <c r="D427" s="549">
        <f>SUM(D428:D431)</f>
        <v>220140</v>
      </c>
      <c r="E427" s="88">
        <f t="shared" si="105"/>
        <v>1318760</v>
      </c>
      <c r="F427" s="549">
        <f>SUM(F428:F431)</f>
        <v>997152</v>
      </c>
      <c r="G427" s="549">
        <f t="shared" si="113"/>
        <v>18952</v>
      </c>
      <c r="H427" s="815">
        <f t="shared" si="114"/>
        <v>1.937436107135555E-2</v>
      </c>
      <c r="I427" s="549">
        <f t="shared" si="115"/>
        <v>-321608</v>
      </c>
      <c r="J427" s="815">
        <f t="shared" si="116"/>
        <v>-0.24387151566623191</v>
      </c>
    </row>
    <row r="428" spans="1:10" x14ac:dyDescent="0.2">
      <c r="A428" s="77" t="s">
        <v>362</v>
      </c>
      <c r="B428" s="90">
        <v>137000</v>
      </c>
      <c r="C428" s="90">
        <v>120420</v>
      </c>
      <c r="D428" s="558">
        <v>180000</v>
      </c>
      <c r="E428" s="90">
        <f t="shared" si="105"/>
        <v>437420</v>
      </c>
      <c r="F428" s="558">
        <v>164020</v>
      </c>
      <c r="G428" s="558">
        <f t="shared" si="113"/>
        <v>27020</v>
      </c>
      <c r="H428" s="814">
        <f t="shared" si="114"/>
        <v>0.19722627737226278</v>
      </c>
      <c r="I428" s="558">
        <f t="shared" si="115"/>
        <v>-273400</v>
      </c>
      <c r="J428" s="814">
        <f t="shared" si="116"/>
        <v>-0.62502857665401679</v>
      </c>
    </row>
    <row r="429" spans="1:10" x14ac:dyDescent="0.2">
      <c r="A429" s="77" t="s">
        <v>364</v>
      </c>
      <c r="B429" s="90">
        <v>820000</v>
      </c>
      <c r="C429" s="90"/>
      <c r="D429" s="558">
        <v>30140</v>
      </c>
      <c r="E429" s="90">
        <f t="shared" si="105"/>
        <v>850140</v>
      </c>
      <c r="F429" s="558">
        <f>857000-45068</f>
        <v>811932</v>
      </c>
      <c r="G429" s="558">
        <f t="shared" si="113"/>
        <v>-8068</v>
      </c>
      <c r="H429" s="814">
        <f t="shared" si="114"/>
        <v>-9.8390243902439032E-3</v>
      </c>
      <c r="I429" s="558">
        <f t="shared" si="115"/>
        <v>-38208</v>
      </c>
      <c r="J429" s="814">
        <f t="shared" si="116"/>
        <v>-4.4943185828216527E-2</v>
      </c>
    </row>
    <row r="430" spans="1:10" x14ac:dyDescent="0.2">
      <c r="A430" s="77" t="s">
        <v>365</v>
      </c>
      <c r="B430" s="90">
        <v>20000</v>
      </c>
      <c r="C430" s="90"/>
      <c r="D430" s="558">
        <v>10000</v>
      </c>
      <c r="E430" s="90">
        <f t="shared" si="105"/>
        <v>30000</v>
      </c>
      <c r="F430" s="558">
        <v>20000</v>
      </c>
      <c r="G430" s="558">
        <f t="shared" si="113"/>
        <v>0</v>
      </c>
      <c r="H430" s="814">
        <f t="shared" si="114"/>
        <v>0</v>
      </c>
      <c r="I430" s="558">
        <f t="shared" si="115"/>
        <v>-10000</v>
      </c>
      <c r="J430" s="814">
        <f t="shared" si="116"/>
        <v>-0.33333333333333331</v>
      </c>
    </row>
    <row r="431" spans="1:10" x14ac:dyDescent="0.2">
      <c r="A431" s="77" t="s">
        <v>366</v>
      </c>
      <c r="B431" s="90">
        <v>1200</v>
      </c>
      <c r="C431" s="90"/>
      <c r="D431" s="558"/>
      <c r="E431" s="90">
        <f t="shared" si="105"/>
        <v>1200</v>
      </c>
      <c r="F431" s="558">
        <v>1200</v>
      </c>
      <c r="G431" s="558">
        <f t="shared" si="113"/>
        <v>0</v>
      </c>
      <c r="H431" s="814">
        <f t="shared" si="114"/>
        <v>0</v>
      </c>
      <c r="I431" s="558">
        <f t="shared" si="115"/>
        <v>0</v>
      </c>
      <c r="J431" s="814">
        <f t="shared" si="116"/>
        <v>0</v>
      </c>
    </row>
    <row r="432" spans="1:10" x14ac:dyDescent="0.2">
      <c r="A432" s="76" t="s">
        <v>124</v>
      </c>
      <c r="B432" s="88">
        <f>SUM(B433:B434)</f>
        <v>42818</v>
      </c>
      <c r="C432" s="88">
        <f>SUM(C433:C434)</f>
        <v>-15670</v>
      </c>
      <c r="D432" s="549">
        <f>SUM(D433:D434)</f>
        <v>-19101</v>
      </c>
      <c r="E432" s="88">
        <f t="shared" si="105"/>
        <v>8047</v>
      </c>
      <c r="F432" s="549">
        <f>SUM(F433:F434)</f>
        <v>27066</v>
      </c>
      <c r="G432" s="549">
        <f t="shared" si="113"/>
        <v>-15752</v>
      </c>
      <c r="H432" s="815">
        <f t="shared" si="114"/>
        <v>-0.36788266616843385</v>
      </c>
      <c r="I432" s="549">
        <f t="shared" si="115"/>
        <v>19019</v>
      </c>
      <c r="J432" s="815">
        <f t="shared" si="116"/>
        <v>2.3634894991922457</v>
      </c>
    </row>
    <row r="433" spans="1:10" x14ac:dyDescent="0.2">
      <c r="A433" s="77" t="s">
        <v>162</v>
      </c>
      <c r="B433" s="90">
        <v>40818</v>
      </c>
      <c r="C433" s="90">
        <v>-15670</v>
      </c>
      <c r="D433" s="558">
        <v>-19101</v>
      </c>
      <c r="E433" s="90">
        <f t="shared" si="105"/>
        <v>6047</v>
      </c>
      <c r="F433" s="558">
        <v>25066</v>
      </c>
      <c r="G433" s="558">
        <f t="shared" si="113"/>
        <v>-15752</v>
      </c>
      <c r="H433" s="814">
        <f t="shared" si="114"/>
        <v>-0.38590817776471165</v>
      </c>
      <c r="I433" s="558">
        <f t="shared" si="115"/>
        <v>19019</v>
      </c>
      <c r="J433" s="814">
        <f t="shared" si="116"/>
        <v>3.1451959649412933</v>
      </c>
    </row>
    <row r="434" spans="1:10" x14ac:dyDescent="0.2">
      <c r="A434" s="77" t="s">
        <v>163</v>
      </c>
      <c r="B434" s="90">
        <v>2000</v>
      </c>
      <c r="C434" s="90"/>
      <c r="D434" s="558"/>
      <c r="E434" s="90">
        <f t="shared" si="105"/>
        <v>2000</v>
      </c>
      <c r="F434" s="558">
        <v>2000</v>
      </c>
      <c r="G434" s="558">
        <f t="shared" si="113"/>
        <v>0</v>
      </c>
      <c r="H434" s="814">
        <f t="shared" si="114"/>
        <v>0</v>
      </c>
      <c r="I434" s="558">
        <f t="shared" si="115"/>
        <v>0</v>
      </c>
      <c r="J434" s="814">
        <f t="shared" si="116"/>
        <v>0</v>
      </c>
    </row>
    <row r="435" spans="1:10" x14ac:dyDescent="0.2">
      <c r="A435" s="77"/>
      <c r="B435" s="90"/>
      <c r="C435" s="90"/>
      <c r="D435" s="90"/>
      <c r="E435" s="90">
        <f t="shared" si="105"/>
        <v>0</v>
      </c>
      <c r="F435" s="90"/>
      <c r="G435" s="90">
        <f t="shared" si="113"/>
        <v>0</v>
      </c>
      <c r="H435" s="527"/>
      <c r="I435" s="90">
        <f t="shared" si="115"/>
        <v>0</v>
      </c>
      <c r="J435" s="527"/>
    </row>
    <row r="436" spans="1:10" x14ac:dyDescent="0.2">
      <c r="A436" s="78" t="s">
        <v>829</v>
      </c>
      <c r="B436" s="87">
        <f>B437+B439</f>
        <v>9600</v>
      </c>
      <c r="C436" s="87"/>
      <c r="D436" s="87"/>
      <c r="E436" s="87">
        <f t="shared" si="105"/>
        <v>9600</v>
      </c>
      <c r="F436" s="548">
        <v>9600</v>
      </c>
      <c r="G436" s="548">
        <f t="shared" si="113"/>
        <v>0</v>
      </c>
      <c r="H436" s="818">
        <f t="shared" si="114"/>
        <v>0</v>
      </c>
      <c r="I436" s="548">
        <f t="shared" si="115"/>
        <v>0</v>
      </c>
      <c r="J436" s="818">
        <f t="shared" si="116"/>
        <v>0</v>
      </c>
    </row>
    <row r="437" spans="1:10" x14ac:dyDescent="0.2">
      <c r="A437" s="76" t="s">
        <v>126</v>
      </c>
      <c r="B437" s="88">
        <f>B438</f>
        <v>9500</v>
      </c>
      <c r="C437" s="88"/>
      <c r="D437" s="88"/>
      <c r="E437" s="88">
        <f t="shared" si="105"/>
        <v>9500</v>
      </c>
      <c r="F437" s="549">
        <v>9500</v>
      </c>
      <c r="G437" s="549">
        <f t="shared" si="113"/>
        <v>0</v>
      </c>
      <c r="H437" s="815">
        <f t="shared" si="114"/>
        <v>0</v>
      </c>
      <c r="I437" s="549">
        <f t="shared" si="115"/>
        <v>0</v>
      </c>
      <c r="J437" s="815">
        <f t="shared" si="116"/>
        <v>0</v>
      </c>
    </row>
    <row r="438" spans="1:10" x14ac:dyDescent="0.2">
      <c r="A438" s="77" t="s">
        <v>165</v>
      </c>
      <c r="B438" s="90">
        <v>9500</v>
      </c>
      <c r="C438" s="90"/>
      <c r="D438" s="90"/>
      <c r="E438" s="90">
        <f t="shared" ref="E438:E501" si="131">B438+C438+D438</f>
        <v>9500</v>
      </c>
      <c r="F438" s="558">
        <v>9500</v>
      </c>
      <c r="G438" s="558">
        <f t="shared" si="113"/>
        <v>0</v>
      </c>
      <c r="H438" s="814">
        <f t="shared" si="114"/>
        <v>0</v>
      </c>
      <c r="I438" s="558">
        <f t="shared" si="115"/>
        <v>0</v>
      </c>
      <c r="J438" s="814">
        <f t="shared" si="116"/>
        <v>0</v>
      </c>
    </row>
    <row r="439" spans="1:10" x14ac:dyDescent="0.2">
      <c r="A439" s="76" t="s">
        <v>125</v>
      </c>
      <c r="B439" s="88">
        <f>B440</f>
        <v>100</v>
      </c>
      <c r="C439" s="88"/>
      <c r="D439" s="88"/>
      <c r="E439" s="88">
        <f t="shared" si="131"/>
        <v>100</v>
      </c>
      <c r="F439" s="549">
        <v>100</v>
      </c>
      <c r="G439" s="549">
        <f t="shared" si="113"/>
        <v>0</v>
      </c>
      <c r="H439" s="815">
        <f t="shared" si="114"/>
        <v>0</v>
      </c>
      <c r="I439" s="549">
        <f t="shared" si="115"/>
        <v>0</v>
      </c>
      <c r="J439" s="815">
        <f t="shared" si="116"/>
        <v>0</v>
      </c>
    </row>
    <row r="440" spans="1:10" x14ac:dyDescent="0.2">
      <c r="A440" s="77" t="s">
        <v>174</v>
      </c>
      <c r="B440" s="90">
        <v>100</v>
      </c>
      <c r="C440" s="90"/>
      <c r="D440" s="90"/>
      <c r="E440" s="90">
        <f t="shared" si="131"/>
        <v>100</v>
      </c>
      <c r="F440" s="558">
        <v>100</v>
      </c>
      <c r="G440" s="558">
        <f t="shared" si="113"/>
        <v>0</v>
      </c>
      <c r="H440" s="814">
        <f t="shared" si="114"/>
        <v>0</v>
      </c>
      <c r="I440" s="558">
        <f t="shared" si="115"/>
        <v>0</v>
      </c>
      <c r="J440" s="814">
        <f t="shared" si="116"/>
        <v>0</v>
      </c>
    </row>
    <row r="441" spans="1:10" x14ac:dyDescent="0.2">
      <c r="A441" s="77"/>
      <c r="B441" s="90"/>
      <c r="C441" s="90"/>
      <c r="D441" s="90"/>
      <c r="E441" s="90">
        <f t="shared" si="131"/>
        <v>0</v>
      </c>
      <c r="F441" s="558"/>
      <c r="G441" s="558">
        <f t="shared" si="113"/>
        <v>0</v>
      </c>
      <c r="H441" s="814"/>
      <c r="I441" s="558">
        <f t="shared" si="115"/>
        <v>0</v>
      </c>
      <c r="J441" s="814"/>
    </row>
    <row r="442" spans="1:10" x14ac:dyDescent="0.2">
      <c r="A442" s="78" t="s">
        <v>1133</v>
      </c>
      <c r="B442" s="90"/>
      <c r="C442" s="90"/>
      <c r="D442" s="90"/>
      <c r="E442" s="90">
        <f t="shared" si="131"/>
        <v>0</v>
      </c>
      <c r="F442" s="87">
        <f>SUM(F444+F448)</f>
        <v>20000</v>
      </c>
      <c r="G442" s="87">
        <f t="shared" si="113"/>
        <v>20000</v>
      </c>
      <c r="H442" s="523"/>
      <c r="I442" s="87">
        <f t="shared" si="115"/>
        <v>20000</v>
      </c>
      <c r="J442" s="523"/>
    </row>
    <row r="443" spans="1:10" x14ac:dyDescent="0.2">
      <c r="A443" s="76" t="s">
        <v>1134</v>
      </c>
      <c r="B443" s="90"/>
      <c r="C443" s="90"/>
      <c r="D443" s="90"/>
      <c r="E443" s="90">
        <f t="shared" si="131"/>
        <v>0</v>
      </c>
      <c r="F443" s="87"/>
      <c r="G443" s="87">
        <f t="shared" si="113"/>
        <v>0</v>
      </c>
      <c r="H443" s="523"/>
      <c r="I443" s="87">
        <f t="shared" si="115"/>
        <v>0</v>
      </c>
      <c r="J443" s="523"/>
    </row>
    <row r="444" spans="1:10" x14ac:dyDescent="0.2">
      <c r="A444" s="76" t="s">
        <v>128</v>
      </c>
      <c r="B444" s="90"/>
      <c r="C444" s="90"/>
      <c r="D444" s="90"/>
      <c r="E444" s="90">
        <f t="shared" si="131"/>
        <v>0</v>
      </c>
      <c r="F444" s="269">
        <f>SUM(F445:F446)</f>
        <v>17000</v>
      </c>
      <c r="G444" s="269">
        <f t="shared" si="113"/>
        <v>17000</v>
      </c>
      <c r="H444" s="524"/>
      <c r="I444" s="269">
        <f t="shared" si="115"/>
        <v>17000</v>
      </c>
      <c r="J444" s="524"/>
    </row>
    <row r="445" spans="1:10" x14ac:dyDescent="0.2">
      <c r="A445" s="77" t="s">
        <v>170</v>
      </c>
      <c r="B445" s="90"/>
      <c r="C445" s="90"/>
      <c r="D445" s="90"/>
      <c r="E445" s="90">
        <f t="shared" si="131"/>
        <v>0</v>
      </c>
      <c r="F445" s="272">
        <v>7000</v>
      </c>
      <c r="G445" s="272">
        <f t="shared" si="113"/>
        <v>7000</v>
      </c>
      <c r="H445" s="525"/>
      <c r="I445" s="272">
        <f t="shared" si="115"/>
        <v>7000</v>
      </c>
      <c r="J445" s="525"/>
    </row>
    <row r="446" spans="1:10" s="745" customFormat="1" x14ac:dyDescent="0.2">
      <c r="A446" s="79" t="s">
        <v>165</v>
      </c>
      <c r="B446" s="90"/>
      <c r="C446" s="90"/>
      <c r="D446" s="90"/>
      <c r="E446" s="90">
        <f t="shared" si="131"/>
        <v>0</v>
      </c>
      <c r="F446" s="272">
        <v>10000</v>
      </c>
      <c r="G446" s="272">
        <f t="shared" si="113"/>
        <v>10000</v>
      </c>
      <c r="H446" s="525"/>
      <c r="I446" s="272">
        <f t="shared" si="115"/>
        <v>10000</v>
      </c>
      <c r="J446" s="525"/>
    </row>
    <row r="447" spans="1:10" s="745" customFormat="1" x14ac:dyDescent="0.2">
      <c r="A447" s="79"/>
      <c r="B447" s="90"/>
      <c r="C447" s="90"/>
      <c r="D447" s="90"/>
      <c r="E447" s="90">
        <f t="shared" si="131"/>
        <v>0</v>
      </c>
      <c r="F447" s="272"/>
      <c r="G447" s="272">
        <f t="shared" si="113"/>
        <v>0</v>
      </c>
      <c r="H447" s="525"/>
      <c r="I447" s="272">
        <f t="shared" si="115"/>
        <v>0</v>
      </c>
      <c r="J447" s="525"/>
    </row>
    <row r="448" spans="1:10" s="58" customFormat="1" x14ac:dyDescent="0.2">
      <c r="A448" s="552" t="s">
        <v>125</v>
      </c>
      <c r="B448" s="558"/>
      <c r="C448" s="558"/>
      <c r="D448" s="558"/>
      <c r="E448" s="558">
        <f t="shared" si="131"/>
        <v>0</v>
      </c>
      <c r="F448" s="576">
        <f>SUM(F449)</f>
        <v>3000</v>
      </c>
      <c r="G448" s="576">
        <f t="shared" si="113"/>
        <v>3000</v>
      </c>
      <c r="H448" s="757"/>
      <c r="I448" s="576">
        <f t="shared" si="115"/>
        <v>3000</v>
      </c>
      <c r="J448" s="757"/>
    </row>
    <row r="449" spans="1:10" s="58" customFormat="1" x14ac:dyDescent="0.2">
      <c r="A449" s="516" t="s">
        <v>174</v>
      </c>
      <c r="B449" s="549"/>
      <c r="C449" s="549"/>
      <c r="D449" s="549"/>
      <c r="E449" s="549">
        <f t="shared" si="131"/>
        <v>0</v>
      </c>
      <c r="F449" s="746">
        <v>3000</v>
      </c>
      <c r="G449" s="746">
        <f t="shared" si="113"/>
        <v>3000</v>
      </c>
      <c r="H449" s="525"/>
      <c r="I449" s="746">
        <f t="shared" si="115"/>
        <v>3000</v>
      </c>
      <c r="J449" s="525"/>
    </row>
    <row r="450" spans="1:10" x14ac:dyDescent="0.2">
      <c r="A450" s="76"/>
      <c r="B450" s="88"/>
      <c r="C450" s="88"/>
      <c r="D450" s="88"/>
      <c r="E450" s="88">
        <f t="shared" si="131"/>
        <v>0</v>
      </c>
      <c r="F450" s="88"/>
      <c r="G450" s="88">
        <f t="shared" si="113"/>
        <v>0</v>
      </c>
      <c r="H450" s="526"/>
      <c r="I450" s="88">
        <f t="shared" si="115"/>
        <v>0</v>
      </c>
      <c r="J450" s="526"/>
    </row>
    <row r="451" spans="1:10" x14ac:dyDescent="0.2">
      <c r="A451" s="78" t="s">
        <v>1135</v>
      </c>
      <c r="B451" s="87">
        <f>B453+B467+B473</f>
        <v>476820</v>
      </c>
      <c r="C451" s="87">
        <f>C453+C467+C473</f>
        <v>-37640</v>
      </c>
      <c r="D451" s="548">
        <f>D453+D467+D473</f>
        <v>-14800</v>
      </c>
      <c r="E451" s="87">
        <f t="shared" si="131"/>
        <v>424380</v>
      </c>
      <c r="F451" s="548">
        <f>F453+F467+F473</f>
        <v>483330</v>
      </c>
      <c r="G451" s="548">
        <f t="shared" si="113"/>
        <v>6510</v>
      </c>
      <c r="H451" s="818">
        <f t="shared" si="114"/>
        <v>1.3652950799043665E-2</v>
      </c>
      <c r="I451" s="548">
        <f t="shared" si="115"/>
        <v>58950</v>
      </c>
      <c r="J451" s="818">
        <f t="shared" si="116"/>
        <v>0.13890852537819878</v>
      </c>
    </row>
    <row r="452" spans="1:10" x14ac:dyDescent="0.2">
      <c r="A452" s="78"/>
      <c r="B452" s="87"/>
      <c r="C452" s="87"/>
      <c r="D452" s="548"/>
      <c r="E452" s="87">
        <f t="shared" si="131"/>
        <v>0</v>
      </c>
      <c r="F452" s="548"/>
      <c r="G452" s="548">
        <f t="shared" si="113"/>
        <v>0</v>
      </c>
      <c r="H452" s="818"/>
      <c r="I452" s="548">
        <f t="shared" si="115"/>
        <v>0</v>
      </c>
      <c r="J452" s="818"/>
    </row>
    <row r="453" spans="1:10" x14ac:dyDescent="0.2">
      <c r="A453" s="76" t="s">
        <v>1136</v>
      </c>
      <c r="B453" s="88">
        <f>B454+B457+B460+B463</f>
        <v>387720</v>
      </c>
      <c r="C453" s="88">
        <f>C454+C457+C460+C463</f>
        <v>700</v>
      </c>
      <c r="D453" s="549">
        <f>D454+D457+D460+D463</f>
        <v>-12000</v>
      </c>
      <c r="E453" s="88">
        <f t="shared" si="131"/>
        <v>376420</v>
      </c>
      <c r="F453" s="549">
        <f>F454+F457+F460+F463</f>
        <v>397130</v>
      </c>
      <c r="G453" s="549">
        <f t="shared" si="113"/>
        <v>9410</v>
      </c>
      <c r="H453" s="815">
        <f t="shared" si="114"/>
        <v>2.4270091818838338E-2</v>
      </c>
      <c r="I453" s="549">
        <f t="shared" si="115"/>
        <v>20710</v>
      </c>
      <c r="J453" s="815">
        <f t="shared" si="116"/>
        <v>5.5018330588172785E-2</v>
      </c>
    </row>
    <row r="454" spans="1:10" x14ac:dyDescent="0.2">
      <c r="A454" s="76" t="s">
        <v>132</v>
      </c>
      <c r="B454" s="88">
        <f>B455+B456</f>
        <v>51500</v>
      </c>
      <c r="C454" s="88">
        <f>C455+C456</f>
        <v>0</v>
      </c>
      <c r="D454" s="549">
        <f>D455+D456</f>
        <v>-8000</v>
      </c>
      <c r="E454" s="88">
        <f t="shared" si="131"/>
        <v>43500</v>
      </c>
      <c r="F454" s="549">
        <f>F455+F456</f>
        <v>47500</v>
      </c>
      <c r="G454" s="549">
        <f t="shared" ref="G454:G517" si="132">F454-B454</f>
        <v>-4000</v>
      </c>
      <c r="H454" s="815">
        <f t="shared" ref="H454:H517" si="133">G454/B454</f>
        <v>-7.7669902912621352E-2</v>
      </c>
      <c r="I454" s="549">
        <f t="shared" ref="I454:I517" si="134">F454-E454</f>
        <v>4000</v>
      </c>
      <c r="J454" s="815">
        <f t="shared" ref="J454:J517" si="135">I454/E454</f>
        <v>9.1954022988505746E-2</v>
      </c>
    </row>
    <row r="455" spans="1:10" x14ac:dyDescent="0.2">
      <c r="A455" s="77" t="s">
        <v>179</v>
      </c>
      <c r="B455" s="90">
        <v>15500</v>
      </c>
      <c r="C455" s="90"/>
      <c r="D455" s="558"/>
      <c r="E455" s="90">
        <f t="shared" si="131"/>
        <v>15500</v>
      </c>
      <c r="F455" s="558">
        <v>15500</v>
      </c>
      <c r="G455" s="558">
        <f t="shared" si="132"/>
        <v>0</v>
      </c>
      <c r="H455" s="814">
        <f t="shared" si="133"/>
        <v>0</v>
      </c>
      <c r="I455" s="558">
        <f t="shared" si="134"/>
        <v>0</v>
      </c>
      <c r="J455" s="814">
        <f t="shared" si="135"/>
        <v>0</v>
      </c>
    </row>
    <row r="456" spans="1:10" x14ac:dyDescent="0.2">
      <c r="A456" s="77" t="s">
        <v>163</v>
      </c>
      <c r="B456" s="90">
        <v>36000</v>
      </c>
      <c r="C456" s="90"/>
      <c r="D456" s="558">
        <v>-8000</v>
      </c>
      <c r="E456" s="90">
        <f t="shared" si="131"/>
        <v>28000</v>
      </c>
      <c r="F456" s="558">
        <v>32000</v>
      </c>
      <c r="G456" s="558">
        <f t="shared" si="132"/>
        <v>-4000</v>
      </c>
      <c r="H456" s="814">
        <f t="shared" si="133"/>
        <v>-0.1111111111111111</v>
      </c>
      <c r="I456" s="558">
        <f t="shared" si="134"/>
        <v>4000</v>
      </c>
      <c r="J456" s="814">
        <f t="shared" si="135"/>
        <v>0.14285714285714285</v>
      </c>
    </row>
    <row r="457" spans="1:10" x14ac:dyDescent="0.2">
      <c r="A457" s="76" t="s">
        <v>124</v>
      </c>
      <c r="B457" s="88">
        <f>B458+B459</f>
        <v>146970</v>
      </c>
      <c r="C457" s="88">
        <f>C458+C459</f>
        <v>-7600</v>
      </c>
      <c r="D457" s="549">
        <f>D458+D459</f>
        <v>-7000</v>
      </c>
      <c r="E457" s="88">
        <f t="shared" si="131"/>
        <v>132370</v>
      </c>
      <c r="F457" s="549">
        <f>F458+F459</f>
        <v>153140</v>
      </c>
      <c r="G457" s="549">
        <f t="shared" si="132"/>
        <v>6170</v>
      </c>
      <c r="H457" s="815">
        <f t="shared" si="133"/>
        <v>4.1981356739470642E-2</v>
      </c>
      <c r="I457" s="549">
        <f t="shared" si="134"/>
        <v>20770</v>
      </c>
      <c r="J457" s="815">
        <f t="shared" si="135"/>
        <v>0.15690866510538642</v>
      </c>
    </row>
    <row r="458" spans="1:10" x14ac:dyDescent="0.2">
      <c r="A458" s="77" t="s">
        <v>162</v>
      </c>
      <c r="B458" s="90">
        <v>93970</v>
      </c>
      <c r="C458" s="90">
        <v>-7600</v>
      </c>
      <c r="D458" s="558">
        <v>-4000</v>
      </c>
      <c r="E458" s="90">
        <f t="shared" si="131"/>
        <v>82370</v>
      </c>
      <c r="F458" s="558">
        <v>99140</v>
      </c>
      <c r="G458" s="558">
        <f t="shared" si="132"/>
        <v>5170</v>
      </c>
      <c r="H458" s="814">
        <f t="shared" si="133"/>
        <v>5.5017558795360223E-2</v>
      </c>
      <c r="I458" s="558">
        <f t="shared" si="134"/>
        <v>16770</v>
      </c>
      <c r="J458" s="814">
        <f t="shared" si="135"/>
        <v>0.20359354133786572</v>
      </c>
    </row>
    <row r="459" spans="1:10" x14ac:dyDescent="0.2">
      <c r="A459" s="77" t="s">
        <v>163</v>
      </c>
      <c r="B459" s="90">
        <v>53000</v>
      </c>
      <c r="C459" s="90"/>
      <c r="D459" s="558">
        <v>-3000</v>
      </c>
      <c r="E459" s="90">
        <f t="shared" si="131"/>
        <v>50000</v>
      </c>
      <c r="F459" s="558">
        <v>54000</v>
      </c>
      <c r="G459" s="558">
        <f t="shared" si="132"/>
        <v>1000</v>
      </c>
      <c r="H459" s="814">
        <f t="shared" si="133"/>
        <v>1.8867924528301886E-2</v>
      </c>
      <c r="I459" s="558">
        <f t="shared" si="134"/>
        <v>4000</v>
      </c>
      <c r="J459" s="814">
        <f t="shared" si="135"/>
        <v>0.08</v>
      </c>
    </row>
    <row r="460" spans="1:10" x14ac:dyDescent="0.2">
      <c r="A460" s="76" t="s">
        <v>131</v>
      </c>
      <c r="B460" s="88">
        <f>B461+B462</f>
        <v>51250</v>
      </c>
      <c r="C460" s="88">
        <f>C461+C462</f>
        <v>300</v>
      </c>
      <c r="D460" s="549">
        <f>D461+D462</f>
        <v>2500</v>
      </c>
      <c r="E460" s="88">
        <f t="shared" si="131"/>
        <v>54050</v>
      </c>
      <c r="F460" s="549">
        <f>F461+F462</f>
        <v>50490</v>
      </c>
      <c r="G460" s="549">
        <f t="shared" si="132"/>
        <v>-760</v>
      </c>
      <c r="H460" s="815">
        <f t="shared" si="133"/>
        <v>-1.4829268292682926E-2</v>
      </c>
      <c r="I460" s="549">
        <f t="shared" si="134"/>
        <v>-3560</v>
      </c>
      <c r="J460" s="815">
        <f t="shared" si="135"/>
        <v>-6.5864939870490288E-2</v>
      </c>
    </row>
    <row r="461" spans="1:10" x14ac:dyDescent="0.2">
      <c r="A461" s="79" t="s">
        <v>188</v>
      </c>
      <c r="B461" s="89">
        <v>44100</v>
      </c>
      <c r="C461" s="89">
        <v>6400</v>
      </c>
      <c r="D461" s="553">
        <v>2500</v>
      </c>
      <c r="E461" s="89">
        <f t="shared" si="131"/>
        <v>53000</v>
      </c>
      <c r="F461" s="553">
        <v>49460</v>
      </c>
      <c r="G461" s="553">
        <f t="shared" si="132"/>
        <v>5360</v>
      </c>
      <c r="H461" s="819">
        <f t="shared" si="133"/>
        <v>0.12154195011337869</v>
      </c>
      <c r="I461" s="553">
        <f t="shared" si="134"/>
        <v>-3540</v>
      </c>
      <c r="J461" s="819">
        <f t="shared" si="135"/>
        <v>-6.6792452830188684E-2</v>
      </c>
    </row>
    <row r="462" spans="1:10" x14ac:dyDescent="0.2">
      <c r="A462" s="79" t="s">
        <v>176</v>
      </c>
      <c r="B462" s="89">
        <v>7150</v>
      </c>
      <c r="C462" s="89">
        <v>-6100</v>
      </c>
      <c r="D462" s="553"/>
      <c r="E462" s="89">
        <f t="shared" si="131"/>
        <v>1050</v>
      </c>
      <c r="F462" s="553">
        <v>1030</v>
      </c>
      <c r="G462" s="553">
        <f t="shared" si="132"/>
        <v>-6120</v>
      </c>
      <c r="H462" s="819">
        <f t="shared" si="133"/>
        <v>-0.85594405594405598</v>
      </c>
      <c r="I462" s="553">
        <f t="shared" si="134"/>
        <v>-20</v>
      </c>
      <c r="J462" s="819">
        <f t="shared" si="135"/>
        <v>-1.9047619047619049E-2</v>
      </c>
    </row>
    <row r="463" spans="1:10" x14ac:dyDescent="0.2">
      <c r="A463" s="76" t="s">
        <v>125</v>
      </c>
      <c r="B463" s="88">
        <f>B464+B465</f>
        <v>138000</v>
      </c>
      <c r="C463" s="88">
        <f>C464+C465</f>
        <v>8000</v>
      </c>
      <c r="D463" s="549">
        <f>D464+D465</f>
        <v>500</v>
      </c>
      <c r="E463" s="88">
        <f t="shared" si="131"/>
        <v>146500</v>
      </c>
      <c r="F463" s="549">
        <f>F464+F465</f>
        <v>146000</v>
      </c>
      <c r="G463" s="549">
        <f t="shared" si="132"/>
        <v>8000</v>
      </c>
      <c r="H463" s="815">
        <f t="shared" si="133"/>
        <v>5.7971014492753624E-2</v>
      </c>
      <c r="I463" s="549">
        <f t="shared" si="134"/>
        <v>-500</v>
      </c>
      <c r="J463" s="815">
        <f t="shared" si="135"/>
        <v>-3.4129692832764505E-3</v>
      </c>
    </row>
    <row r="464" spans="1:10" x14ac:dyDescent="0.2">
      <c r="A464" s="77" t="s">
        <v>186</v>
      </c>
      <c r="B464" s="90">
        <v>128000</v>
      </c>
      <c r="C464" s="90">
        <v>11000</v>
      </c>
      <c r="D464" s="558"/>
      <c r="E464" s="90">
        <f t="shared" si="131"/>
        <v>139000</v>
      </c>
      <c r="F464" s="558">
        <v>136000</v>
      </c>
      <c r="G464" s="558">
        <f t="shared" si="132"/>
        <v>8000</v>
      </c>
      <c r="H464" s="814">
        <f t="shared" si="133"/>
        <v>6.25E-2</v>
      </c>
      <c r="I464" s="558">
        <f t="shared" si="134"/>
        <v>-3000</v>
      </c>
      <c r="J464" s="814">
        <f t="shared" si="135"/>
        <v>-2.1582733812949641E-2</v>
      </c>
    </row>
    <row r="465" spans="1:10" x14ac:dyDescent="0.2">
      <c r="A465" s="79" t="s">
        <v>177</v>
      </c>
      <c r="B465" s="89">
        <v>10000</v>
      </c>
      <c r="C465" s="89">
        <v>-3000</v>
      </c>
      <c r="D465" s="553">
        <v>500</v>
      </c>
      <c r="E465" s="90">
        <f t="shared" si="131"/>
        <v>7500</v>
      </c>
      <c r="F465" s="553">
        <v>10000</v>
      </c>
      <c r="G465" s="553">
        <f t="shared" si="132"/>
        <v>0</v>
      </c>
      <c r="H465" s="819">
        <f t="shared" si="133"/>
        <v>0</v>
      </c>
      <c r="I465" s="553">
        <f t="shared" si="134"/>
        <v>2500</v>
      </c>
      <c r="J465" s="819">
        <f t="shared" si="135"/>
        <v>0.33333333333333331</v>
      </c>
    </row>
    <row r="466" spans="1:10" x14ac:dyDescent="0.2">
      <c r="A466" s="79"/>
      <c r="B466" s="89"/>
      <c r="C466" s="89"/>
      <c r="D466" s="553"/>
      <c r="E466" s="89">
        <f t="shared" si="131"/>
        <v>0</v>
      </c>
      <c r="F466" s="553"/>
      <c r="G466" s="553">
        <f t="shared" si="132"/>
        <v>0</v>
      </c>
      <c r="H466" s="819"/>
      <c r="I466" s="553">
        <f t="shared" si="134"/>
        <v>0</v>
      </c>
      <c r="J466" s="819"/>
    </row>
    <row r="467" spans="1:10" x14ac:dyDescent="0.2">
      <c r="A467" s="81" t="s">
        <v>1137</v>
      </c>
      <c r="B467" s="91">
        <f>B468+B470</f>
        <v>52000</v>
      </c>
      <c r="C467" s="91">
        <f>C468+C470</f>
        <v>-33000</v>
      </c>
      <c r="D467" s="560">
        <f>D468+D470</f>
        <v>-2000</v>
      </c>
      <c r="E467" s="91">
        <f t="shared" si="131"/>
        <v>17000</v>
      </c>
      <c r="F467" s="560">
        <f>F468+F470</f>
        <v>44000</v>
      </c>
      <c r="G467" s="560">
        <f t="shared" si="132"/>
        <v>-8000</v>
      </c>
      <c r="H467" s="820">
        <f t="shared" si="133"/>
        <v>-0.15384615384615385</v>
      </c>
      <c r="I467" s="560">
        <f t="shared" si="134"/>
        <v>27000</v>
      </c>
      <c r="J467" s="820">
        <f t="shared" si="135"/>
        <v>1.588235294117647</v>
      </c>
    </row>
    <row r="468" spans="1:10" x14ac:dyDescent="0.2">
      <c r="A468" s="76" t="s">
        <v>128</v>
      </c>
      <c r="B468" s="88">
        <f>B469</f>
        <v>35000</v>
      </c>
      <c r="C468" s="88">
        <f>C469</f>
        <v>-24000</v>
      </c>
      <c r="D468" s="549">
        <f>D469</f>
        <v>0</v>
      </c>
      <c r="E468" s="88">
        <f t="shared" si="131"/>
        <v>11000</v>
      </c>
      <c r="F468" s="549">
        <f>F469</f>
        <v>30000</v>
      </c>
      <c r="G468" s="549">
        <f t="shared" si="132"/>
        <v>-5000</v>
      </c>
      <c r="H468" s="815">
        <f t="shared" si="133"/>
        <v>-0.14285714285714285</v>
      </c>
      <c r="I468" s="549">
        <f t="shared" si="134"/>
        <v>19000</v>
      </c>
      <c r="J468" s="815">
        <f t="shared" si="135"/>
        <v>1.7272727272727273</v>
      </c>
    </row>
    <row r="469" spans="1:10" ht="25.5" x14ac:dyDescent="0.2">
      <c r="A469" s="79" t="s">
        <v>175</v>
      </c>
      <c r="B469" s="89">
        <v>35000</v>
      </c>
      <c r="C469" s="89">
        <f>-19380-4620</f>
        <v>-24000</v>
      </c>
      <c r="D469" s="553"/>
      <c r="E469" s="89">
        <f t="shared" si="131"/>
        <v>11000</v>
      </c>
      <c r="F469" s="553">
        <v>30000</v>
      </c>
      <c r="G469" s="553">
        <f t="shared" si="132"/>
        <v>-5000</v>
      </c>
      <c r="H469" s="819">
        <f t="shared" si="133"/>
        <v>-0.14285714285714285</v>
      </c>
      <c r="I469" s="553">
        <f t="shared" si="134"/>
        <v>19000</v>
      </c>
      <c r="J469" s="819">
        <f t="shared" si="135"/>
        <v>1.7272727272727273</v>
      </c>
    </row>
    <row r="470" spans="1:10" x14ac:dyDescent="0.2">
      <c r="A470" s="76" t="s">
        <v>129</v>
      </c>
      <c r="B470" s="88">
        <f>B471</f>
        <v>17000</v>
      </c>
      <c r="C470" s="88">
        <f>C471</f>
        <v>-9000</v>
      </c>
      <c r="D470" s="549">
        <f>D471</f>
        <v>-2000</v>
      </c>
      <c r="E470" s="88">
        <f t="shared" si="131"/>
        <v>6000</v>
      </c>
      <c r="F470" s="549">
        <f>F471</f>
        <v>14000</v>
      </c>
      <c r="G470" s="549">
        <f t="shared" si="132"/>
        <v>-3000</v>
      </c>
      <c r="H470" s="815">
        <f t="shared" si="133"/>
        <v>-0.17647058823529413</v>
      </c>
      <c r="I470" s="549">
        <f t="shared" si="134"/>
        <v>8000</v>
      </c>
      <c r="J470" s="815">
        <f t="shared" si="135"/>
        <v>1.3333333333333333</v>
      </c>
    </row>
    <row r="471" spans="1:10" x14ac:dyDescent="0.2">
      <c r="A471" s="77" t="s">
        <v>172</v>
      </c>
      <c r="B471" s="90">
        <v>17000</v>
      </c>
      <c r="C471" s="90">
        <v>-9000</v>
      </c>
      <c r="D471" s="558">
        <v>-2000</v>
      </c>
      <c r="E471" s="90">
        <f t="shared" si="131"/>
        <v>6000</v>
      </c>
      <c r="F471" s="558">
        <v>14000</v>
      </c>
      <c r="G471" s="558">
        <f t="shared" si="132"/>
        <v>-3000</v>
      </c>
      <c r="H471" s="814">
        <f t="shared" si="133"/>
        <v>-0.17647058823529413</v>
      </c>
      <c r="I471" s="558">
        <f t="shared" si="134"/>
        <v>8000</v>
      </c>
      <c r="J471" s="814">
        <f t="shared" si="135"/>
        <v>1.3333333333333333</v>
      </c>
    </row>
    <row r="472" spans="1:10" x14ac:dyDescent="0.2">
      <c r="A472" s="77"/>
      <c r="B472" s="90"/>
      <c r="C472" s="90"/>
      <c r="D472" s="558"/>
      <c r="E472" s="90">
        <f t="shared" si="131"/>
        <v>0</v>
      </c>
      <c r="F472" s="558"/>
      <c r="G472" s="558">
        <f t="shared" si="132"/>
        <v>0</v>
      </c>
      <c r="H472" s="814"/>
      <c r="I472" s="558">
        <f t="shared" si="134"/>
        <v>0</v>
      </c>
      <c r="J472" s="814"/>
    </row>
    <row r="473" spans="1:10" x14ac:dyDescent="0.2">
      <c r="A473" s="76" t="s">
        <v>1138</v>
      </c>
      <c r="B473" s="88">
        <f>B474</f>
        <v>37100</v>
      </c>
      <c r="C473" s="88">
        <f>C474</f>
        <v>-5340</v>
      </c>
      <c r="D473" s="549">
        <f>D474</f>
        <v>-800</v>
      </c>
      <c r="E473" s="88">
        <f t="shared" si="131"/>
        <v>30960</v>
      </c>
      <c r="F473" s="549">
        <f>F474</f>
        <v>42200</v>
      </c>
      <c r="G473" s="549">
        <f t="shared" si="132"/>
        <v>5100</v>
      </c>
      <c r="H473" s="815">
        <f t="shared" si="133"/>
        <v>0.13746630727762804</v>
      </c>
      <c r="I473" s="549">
        <f t="shared" si="134"/>
        <v>11240</v>
      </c>
      <c r="J473" s="815">
        <f t="shared" si="135"/>
        <v>0.36304909560723514</v>
      </c>
    </row>
    <row r="474" spans="1:10" x14ac:dyDescent="0.2">
      <c r="A474" s="76" t="s">
        <v>134</v>
      </c>
      <c r="B474" s="88">
        <f>B475+B476+B477+B478+B479</f>
        <v>37100</v>
      </c>
      <c r="C474" s="88">
        <f>C475+C476+C477+C478+C479</f>
        <v>-5340</v>
      </c>
      <c r="D474" s="549">
        <f>D475+D476+D477+D478+D479</f>
        <v>-800</v>
      </c>
      <c r="E474" s="88">
        <f t="shared" si="131"/>
        <v>30960</v>
      </c>
      <c r="F474" s="549">
        <f>F475+F476+F477+F478+F479</f>
        <v>42200</v>
      </c>
      <c r="G474" s="549">
        <f t="shared" si="132"/>
        <v>5100</v>
      </c>
      <c r="H474" s="815">
        <f t="shared" si="133"/>
        <v>0.13746630727762804</v>
      </c>
      <c r="I474" s="549">
        <f t="shared" si="134"/>
        <v>11240</v>
      </c>
      <c r="J474" s="815">
        <f t="shared" si="135"/>
        <v>0.36304909560723514</v>
      </c>
    </row>
    <row r="475" spans="1:10" x14ac:dyDescent="0.2">
      <c r="A475" s="77" t="s">
        <v>189</v>
      </c>
      <c r="B475" s="90">
        <v>6700</v>
      </c>
      <c r="C475" s="90"/>
      <c r="D475" s="558"/>
      <c r="E475" s="90">
        <f t="shared" si="131"/>
        <v>6700</v>
      </c>
      <c r="F475" s="558">
        <v>6500</v>
      </c>
      <c r="G475" s="558">
        <f t="shared" si="132"/>
        <v>-200</v>
      </c>
      <c r="H475" s="814">
        <f t="shared" si="133"/>
        <v>-2.9850746268656716E-2</v>
      </c>
      <c r="I475" s="558">
        <f t="shared" si="134"/>
        <v>-200</v>
      </c>
      <c r="J475" s="814">
        <f t="shared" si="135"/>
        <v>-2.9850746268656716E-2</v>
      </c>
    </row>
    <row r="476" spans="1:10" x14ac:dyDescent="0.2">
      <c r="A476" s="79" t="s">
        <v>182</v>
      </c>
      <c r="B476" s="89">
        <v>9000</v>
      </c>
      <c r="C476" s="89"/>
      <c r="D476" s="553"/>
      <c r="E476" s="90">
        <f t="shared" si="131"/>
        <v>9000</v>
      </c>
      <c r="F476" s="553">
        <v>9000</v>
      </c>
      <c r="G476" s="553">
        <f t="shared" si="132"/>
        <v>0</v>
      </c>
      <c r="H476" s="819">
        <f t="shared" si="133"/>
        <v>0</v>
      </c>
      <c r="I476" s="553">
        <f t="shared" si="134"/>
        <v>0</v>
      </c>
      <c r="J476" s="819">
        <f t="shared" si="135"/>
        <v>0</v>
      </c>
    </row>
    <row r="477" spans="1:10" x14ac:dyDescent="0.2">
      <c r="A477" s="79" t="s">
        <v>192</v>
      </c>
      <c r="B477" s="89">
        <v>900</v>
      </c>
      <c r="C477" s="89">
        <v>-240</v>
      </c>
      <c r="D477" s="553"/>
      <c r="E477" s="90">
        <f t="shared" si="131"/>
        <v>660</v>
      </c>
      <c r="F477" s="553">
        <v>1200</v>
      </c>
      <c r="G477" s="553">
        <f t="shared" si="132"/>
        <v>300</v>
      </c>
      <c r="H477" s="819">
        <f t="shared" si="133"/>
        <v>0.33333333333333331</v>
      </c>
      <c r="I477" s="553">
        <f t="shared" si="134"/>
        <v>540</v>
      </c>
      <c r="J477" s="819">
        <f t="shared" si="135"/>
        <v>0.81818181818181823</v>
      </c>
    </row>
    <row r="478" spans="1:10" x14ac:dyDescent="0.2">
      <c r="A478" s="79" t="s">
        <v>168</v>
      </c>
      <c r="B478" s="89">
        <v>5500</v>
      </c>
      <c r="C478" s="89">
        <v>-2600</v>
      </c>
      <c r="D478" s="553">
        <v>-800</v>
      </c>
      <c r="E478" s="90">
        <f t="shared" si="131"/>
        <v>2100</v>
      </c>
      <c r="F478" s="553">
        <v>5500</v>
      </c>
      <c r="G478" s="553">
        <f t="shared" si="132"/>
        <v>0</v>
      </c>
      <c r="H478" s="819">
        <f t="shared" si="133"/>
        <v>0</v>
      </c>
      <c r="I478" s="553">
        <f t="shared" si="134"/>
        <v>3400</v>
      </c>
      <c r="J478" s="819">
        <f t="shared" si="135"/>
        <v>1.6190476190476191</v>
      </c>
    </row>
    <row r="479" spans="1:10" x14ac:dyDescent="0.2">
      <c r="A479" s="77" t="s">
        <v>287</v>
      </c>
      <c r="B479" s="90">
        <v>15000</v>
      </c>
      <c r="C479" s="90">
        <v>-2500</v>
      </c>
      <c r="D479" s="558"/>
      <c r="E479" s="90">
        <f t="shared" si="131"/>
        <v>12500</v>
      </c>
      <c r="F479" s="558">
        <v>20000</v>
      </c>
      <c r="G479" s="558">
        <f t="shared" si="132"/>
        <v>5000</v>
      </c>
      <c r="H479" s="814">
        <f t="shared" si="133"/>
        <v>0.33333333333333331</v>
      </c>
      <c r="I479" s="558">
        <f t="shared" si="134"/>
        <v>7500</v>
      </c>
      <c r="J479" s="814">
        <f t="shared" si="135"/>
        <v>0.6</v>
      </c>
    </row>
    <row r="480" spans="1:10" x14ac:dyDescent="0.2">
      <c r="A480" s="77"/>
      <c r="B480" s="90"/>
      <c r="C480" s="90"/>
      <c r="D480" s="90"/>
      <c r="E480" s="90">
        <f t="shared" si="131"/>
        <v>0</v>
      </c>
      <c r="F480" s="90"/>
      <c r="G480" s="90">
        <f t="shared" si="132"/>
        <v>0</v>
      </c>
      <c r="H480" s="527"/>
      <c r="I480" s="90">
        <f t="shared" si="134"/>
        <v>0</v>
      </c>
      <c r="J480" s="527"/>
    </row>
    <row r="481" spans="1:10" x14ac:dyDescent="0.2">
      <c r="A481" s="78" t="s">
        <v>1139</v>
      </c>
      <c r="B481" s="87">
        <f>B483+B498+B506+B514</f>
        <v>4634610</v>
      </c>
      <c r="C481" s="87">
        <f>C483+C498+C506+C514</f>
        <v>-1559400</v>
      </c>
      <c r="D481" s="548">
        <f>D483+D498+D506+D514</f>
        <v>-723450</v>
      </c>
      <c r="E481" s="87">
        <f t="shared" si="131"/>
        <v>2351760</v>
      </c>
      <c r="F481" s="548">
        <f>F483+F498+F506+F514</f>
        <v>4483100</v>
      </c>
      <c r="G481" s="548">
        <f t="shared" si="132"/>
        <v>-151510</v>
      </c>
      <c r="H481" s="818">
        <f t="shared" si="133"/>
        <v>-3.2690992338082384E-2</v>
      </c>
      <c r="I481" s="548">
        <f t="shared" si="134"/>
        <v>2131340</v>
      </c>
      <c r="J481" s="818">
        <f t="shared" si="135"/>
        <v>0.90627444977378646</v>
      </c>
    </row>
    <row r="482" spans="1:10" x14ac:dyDescent="0.2">
      <c r="A482" s="80"/>
      <c r="B482" s="94"/>
      <c r="C482" s="94"/>
      <c r="D482" s="551"/>
      <c r="E482" s="94">
        <f t="shared" si="131"/>
        <v>0</v>
      </c>
      <c r="F482" s="551"/>
      <c r="G482" s="551">
        <f t="shared" si="132"/>
        <v>0</v>
      </c>
      <c r="H482" s="822"/>
      <c r="I482" s="551">
        <f t="shared" si="134"/>
        <v>0</v>
      </c>
      <c r="J482" s="822"/>
    </row>
    <row r="483" spans="1:10" x14ac:dyDescent="0.2">
      <c r="A483" s="76" t="s">
        <v>1140</v>
      </c>
      <c r="B483" s="269">
        <f>B484+B487+B491+B494</f>
        <v>4349710</v>
      </c>
      <c r="C483" s="269">
        <f>C484+C487+C491+C494</f>
        <v>-1499800</v>
      </c>
      <c r="D483" s="576">
        <f>D484+D487+D491+D494</f>
        <v>-714700</v>
      </c>
      <c r="E483" s="269">
        <f t="shared" si="131"/>
        <v>2135210</v>
      </c>
      <c r="F483" s="576">
        <f>F484+F487+F491+F494</f>
        <v>4221500</v>
      </c>
      <c r="G483" s="576">
        <f t="shared" si="132"/>
        <v>-128210</v>
      </c>
      <c r="H483" s="757">
        <f t="shared" si="133"/>
        <v>-2.9475528253607712E-2</v>
      </c>
      <c r="I483" s="576">
        <f t="shared" si="134"/>
        <v>2086290</v>
      </c>
      <c r="J483" s="757">
        <f t="shared" si="135"/>
        <v>0.97708890460423092</v>
      </c>
    </row>
    <row r="484" spans="1:10" x14ac:dyDescent="0.2">
      <c r="A484" s="76" t="s">
        <v>132</v>
      </c>
      <c r="B484" s="88">
        <f>SUM(B485:B486)</f>
        <v>51000</v>
      </c>
      <c r="C484" s="88">
        <f>SUM(C485:C486)</f>
        <v>-5000</v>
      </c>
      <c r="D484" s="549">
        <f>SUM(D485:D486)</f>
        <v>-2000</v>
      </c>
      <c r="E484" s="88">
        <f t="shared" si="131"/>
        <v>44000</v>
      </c>
      <c r="F484" s="549">
        <f>SUM(F485:F486)</f>
        <v>45000</v>
      </c>
      <c r="G484" s="549">
        <f t="shared" si="132"/>
        <v>-6000</v>
      </c>
      <c r="H484" s="815">
        <f t="shared" si="133"/>
        <v>-0.11764705882352941</v>
      </c>
      <c r="I484" s="549">
        <f t="shared" si="134"/>
        <v>1000</v>
      </c>
      <c r="J484" s="815">
        <f t="shared" si="135"/>
        <v>2.2727272727272728E-2</v>
      </c>
    </row>
    <row r="485" spans="1:10" x14ac:dyDescent="0.2">
      <c r="A485" s="77" t="s">
        <v>179</v>
      </c>
      <c r="B485" s="90">
        <v>40000</v>
      </c>
      <c r="C485" s="90">
        <v>-5000</v>
      </c>
      <c r="D485" s="558">
        <v>-2000</v>
      </c>
      <c r="E485" s="90">
        <f t="shared" si="131"/>
        <v>33000</v>
      </c>
      <c r="F485" s="558">
        <v>35000</v>
      </c>
      <c r="G485" s="558">
        <f t="shared" si="132"/>
        <v>-5000</v>
      </c>
      <c r="H485" s="814">
        <f t="shared" si="133"/>
        <v>-0.125</v>
      </c>
      <c r="I485" s="558">
        <f t="shared" si="134"/>
        <v>2000</v>
      </c>
      <c r="J485" s="814">
        <f t="shared" si="135"/>
        <v>6.0606060606060608E-2</v>
      </c>
    </row>
    <row r="486" spans="1:10" x14ac:dyDescent="0.2">
      <c r="A486" s="77" t="s">
        <v>163</v>
      </c>
      <c r="B486" s="90">
        <v>11000</v>
      </c>
      <c r="C486" s="90"/>
      <c r="D486" s="558"/>
      <c r="E486" s="90">
        <f t="shared" si="131"/>
        <v>11000</v>
      </c>
      <c r="F486" s="558">
        <v>10000</v>
      </c>
      <c r="G486" s="558">
        <f t="shared" si="132"/>
        <v>-1000</v>
      </c>
      <c r="H486" s="814">
        <f t="shared" si="133"/>
        <v>-9.0909090909090912E-2</v>
      </c>
      <c r="I486" s="558">
        <f t="shared" si="134"/>
        <v>-1000</v>
      </c>
      <c r="J486" s="814">
        <f t="shared" si="135"/>
        <v>-9.0909090909090912E-2</v>
      </c>
    </row>
    <row r="487" spans="1:10" x14ac:dyDescent="0.2">
      <c r="A487" s="76" t="s">
        <v>124</v>
      </c>
      <c r="B487" s="269">
        <f>SUM(B488:B490)</f>
        <v>2832560</v>
      </c>
      <c r="C487" s="269">
        <f>SUM(C488:C490)</f>
        <v>-655400</v>
      </c>
      <c r="D487" s="576">
        <f>SUM(D488:D490)</f>
        <v>-606100</v>
      </c>
      <c r="E487" s="269">
        <f t="shared" si="131"/>
        <v>1571060</v>
      </c>
      <c r="F487" s="576">
        <f>SUM(F488:F490)</f>
        <v>2785600</v>
      </c>
      <c r="G487" s="576">
        <f t="shared" si="132"/>
        <v>-46960</v>
      </c>
      <c r="H487" s="757">
        <f t="shared" si="133"/>
        <v>-1.6578642641285623E-2</v>
      </c>
      <c r="I487" s="576">
        <f t="shared" si="134"/>
        <v>1214540</v>
      </c>
      <c r="J487" s="757">
        <f t="shared" si="135"/>
        <v>0.77307041106004859</v>
      </c>
    </row>
    <row r="488" spans="1:10" x14ac:dyDescent="0.2">
      <c r="A488" s="77" t="s">
        <v>162</v>
      </c>
      <c r="B488" s="90">
        <v>2655400</v>
      </c>
      <c r="C488" s="90">
        <f>-30000-605400</f>
        <v>-635400</v>
      </c>
      <c r="D488" s="558">
        <v>-614800</v>
      </c>
      <c r="E488" s="90">
        <f t="shared" si="131"/>
        <v>1405200</v>
      </c>
      <c r="F488" s="558">
        <v>2635300</v>
      </c>
      <c r="G488" s="558">
        <f t="shared" si="132"/>
        <v>-20100</v>
      </c>
      <c r="H488" s="814">
        <f t="shared" si="133"/>
        <v>-7.5694810574678017E-3</v>
      </c>
      <c r="I488" s="558">
        <f t="shared" si="134"/>
        <v>1230100</v>
      </c>
      <c r="J488" s="814">
        <f t="shared" si="135"/>
        <v>0.87539140335895249</v>
      </c>
    </row>
    <row r="489" spans="1:10" x14ac:dyDescent="0.2">
      <c r="A489" s="77" t="s">
        <v>163</v>
      </c>
      <c r="B489" s="90">
        <v>88000</v>
      </c>
      <c r="C489" s="90"/>
      <c r="D489" s="558">
        <v>1000</v>
      </c>
      <c r="E489" s="90">
        <f t="shared" si="131"/>
        <v>89000</v>
      </c>
      <c r="F489" s="558">
        <v>92000</v>
      </c>
      <c r="G489" s="558">
        <f t="shared" si="132"/>
        <v>4000</v>
      </c>
      <c r="H489" s="814">
        <f t="shared" si="133"/>
        <v>4.5454545454545456E-2</v>
      </c>
      <c r="I489" s="558">
        <f t="shared" si="134"/>
        <v>3000</v>
      </c>
      <c r="J489" s="814">
        <f t="shared" si="135"/>
        <v>3.3707865168539325E-2</v>
      </c>
    </row>
    <row r="490" spans="1:10" x14ac:dyDescent="0.2">
      <c r="A490" s="77" t="s">
        <v>311</v>
      </c>
      <c r="B490" s="90">
        <v>89160</v>
      </c>
      <c r="C490" s="90">
        <v>-20000</v>
      </c>
      <c r="D490" s="558">
        <v>7700</v>
      </c>
      <c r="E490" s="90">
        <f t="shared" si="131"/>
        <v>76860</v>
      </c>
      <c r="F490" s="558">
        <v>58300</v>
      </c>
      <c r="G490" s="558">
        <f t="shared" si="132"/>
        <v>-30860</v>
      </c>
      <c r="H490" s="814">
        <f t="shared" si="133"/>
        <v>-0.34611933602512335</v>
      </c>
      <c r="I490" s="558">
        <f t="shared" si="134"/>
        <v>-18560</v>
      </c>
      <c r="J490" s="814">
        <f t="shared" si="135"/>
        <v>-0.24147801196981525</v>
      </c>
    </row>
    <row r="491" spans="1:10" x14ac:dyDescent="0.2">
      <c r="A491" s="76" t="s">
        <v>131</v>
      </c>
      <c r="B491" s="269">
        <f>SUM(B492:B493)</f>
        <v>1092150</v>
      </c>
      <c r="C491" s="269">
        <f>SUM(C492:C493)</f>
        <v>-834400</v>
      </c>
      <c r="D491" s="576">
        <f>SUM(D492:D493)</f>
        <v>-111300</v>
      </c>
      <c r="E491" s="269">
        <f t="shared" si="131"/>
        <v>146450</v>
      </c>
      <c r="F491" s="576">
        <f>SUM(F492:F493)</f>
        <v>1015900</v>
      </c>
      <c r="G491" s="576">
        <f t="shared" si="132"/>
        <v>-76250</v>
      </c>
      <c r="H491" s="757">
        <f t="shared" si="133"/>
        <v>-6.9816417158815175E-2</v>
      </c>
      <c r="I491" s="576">
        <f t="shared" si="134"/>
        <v>869450</v>
      </c>
      <c r="J491" s="757">
        <f t="shared" si="135"/>
        <v>5.936838511437351</v>
      </c>
    </row>
    <row r="492" spans="1:10" x14ac:dyDescent="0.2">
      <c r="A492" s="79" t="s">
        <v>188</v>
      </c>
      <c r="B492" s="90">
        <f>1145000*0.85+110000*0.5+97000*0.5</f>
        <v>1076750</v>
      </c>
      <c r="C492" s="90">
        <f>-40000-787000</f>
        <v>-827000</v>
      </c>
      <c r="D492" s="558">
        <v>-107500</v>
      </c>
      <c r="E492" s="90">
        <f t="shared" si="131"/>
        <v>142250</v>
      </c>
      <c r="F492" s="558">
        <v>1007900</v>
      </c>
      <c r="G492" s="558">
        <f t="shared" si="132"/>
        <v>-68850</v>
      </c>
      <c r="H492" s="814">
        <f t="shared" si="133"/>
        <v>-6.3942419317390295E-2</v>
      </c>
      <c r="I492" s="558">
        <f t="shared" si="134"/>
        <v>865650</v>
      </c>
      <c r="J492" s="814">
        <f t="shared" si="135"/>
        <v>6.0854130052724074</v>
      </c>
    </row>
    <row r="493" spans="1:10" ht="25.5" x14ac:dyDescent="0.2">
      <c r="A493" s="85" t="s">
        <v>187</v>
      </c>
      <c r="B493" s="90">
        <v>15400</v>
      </c>
      <c r="C493" s="90">
        <v>-7400</v>
      </c>
      <c r="D493" s="558">
        <v>-3800</v>
      </c>
      <c r="E493" s="90">
        <f t="shared" si="131"/>
        <v>4200</v>
      </c>
      <c r="F493" s="558">
        <v>8000</v>
      </c>
      <c r="G493" s="558">
        <f t="shared" si="132"/>
        <v>-7400</v>
      </c>
      <c r="H493" s="814">
        <f t="shared" si="133"/>
        <v>-0.48051948051948051</v>
      </c>
      <c r="I493" s="558">
        <f t="shared" si="134"/>
        <v>3800</v>
      </c>
      <c r="J493" s="814">
        <f t="shared" si="135"/>
        <v>0.90476190476190477</v>
      </c>
    </row>
    <row r="494" spans="1:10" x14ac:dyDescent="0.2">
      <c r="A494" s="81" t="s">
        <v>125</v>
      </c>
      <c r="B494" s="269">
        <f>SUM(B495:B496)</f>
        <v>374000</v>
      </c>
      <c r="C494" s="269">
        <f>SUM(C495:C496)</f>
        <v>-5000</v>
      </c>
      <c r="D494" s="576">
        <f>SUM(D495:D496)</f>
        <v>4700</v>
      </c>
      <c r="E494" s="269">
        <f t="shared" si="131"/>
        <v>373700</v>
      </c>
      <c r="F494" s="576">
        <f>SUM(F495:F496)</f>
        <v>375000</v>
      </c>
      <c r="G494" s="576">
        <f t="shared" si="132"/>
        <v>1000</v>
      </c>
      <c r="H494" s="757">
        <f t="shared" si="133"/>
        <v>2.6737967914438501E-3</v>
      </c>
      <c r="I494" s="576">
        <f t="shared" si="134"/>
        <v>1300</v>
      </c>
      <c r="J494" s="757">
        <f t="shared" si="135"/>
        <v>3.4787262510034785E-3</v>
      </c>
    </row>
    <row r="495" spans="1:10" x14ac:dyDescent="0.2">
      <c r="A495" s="77" t="s">
        <v>186</v>
      </c>
      <c r="B495" s="90">
        <f>31000*12</f>
        <v>372000</v>
      </c>
      <c r="C495" s="90">
        <v>-5000</v>
      </c>
      <c r="D495" s="558">
        <v>1000</v>
      </c>
      <c r="E495" s="90">
        <f t="shared" si="131"/>
        <v>368000</v>
      </c>
      <c r="F495" s="558">
        <v>372000</v>
      </c>
      <c r="G495" s="558">
        <f t="shared" si="132"/>
        <v>0</v>
      </c>
      <c r="H495" s="814">
        <f t="shared" si="133"/>
        <v>0</v>
      </c>
      <c r="I495" s="558">
        <f t="shared" si="134"/>
        <v>4000</v>
      </c>
      <c r="J495" s="814">
        <f t="shared" si="135"/>
        <v>1.0869565217391304E-2</v>
      </c>
    </row>
    <row r="496" spans="1:10" x14ac:dyDescent="0.2">
      <c r="A496" s="77" t="s">
        <v>177</v>
      </c>
      <c r="B496" s="90">
        <v>2000</v>
      </c>
      <c r="C496" s="90"/>
      <c r="D496" s="558">
        <v>3700</v>
      </c>
      <c r="E496" s="90">
        <f t="shared" si="131"/>
        <v>5700</v>
      </c>
      <c r="F496" s="558">
        <v>3000</v>
      </c>
      <c r="G496" s="558">
        <f t="shared" si="132"/>
        <v>1000</v>
      </c>
      <c r="H496" s="814">
        <f t="shared" si="133"/>
        <v>0.5</v>
      </c>
      <c r="I496" s="558">
        <f t="shared" si="134"/>
        <v>-2700</v>
      </c>
      <c r="J496" s="814">
        <f t="shared" si="135"/>
        <v>-0.47368421052631576</v>
      </c>
    </row>
    <row r="497" spans="1:10" x14ac:dyDescent="0.2">
      <c r="A497" s="80"/>
      <c r="B497" s="94"/>
      <c r="C497" s="94"/>
      <c r="D497" s="551"/>
      <c r="E497" s="94">
        <f t="shared" si="131"/>
        <v>0</v>
      </c>
      <c r="F497" s="551"/>
      <c r="G497" s="551">
        <f t="shared" si="132"/>
        <v>0</v>
      </c>
      <c r="H497" s="822"/>
      <c r="I497" s="551">
        <f t="shared" si="134"/>
        <v>0</v>
      </c>
      <c r="J497" s="822"/>
    </row>
    <row r="498" spans="1:10" ht="25.5" x14ac:dyDescent="0.2">
      <c r="A498" s="81" t="s">
        <v>1141</v>
      </c>
      <c r="B498" s="270">
        <f>B499</f>
        <v>43400</v>
      </c>
      <c r="C498" s="270">
        <f>C499</f>
        <v>-1600</v>
      </c>
      <c r="D498" s="604">
        <f>D499</f>
        <v>-200</v>
      </c>
      <c r="E498" s="270">
        <f t="shared" si="131"/>
        <v>41600</v>
      </c>
      <c r="F498" s="604">
        <f>F499</f>
        <v>43200</v>
      </c>
      <c r="G498" s="604">
        <f t="shared" si="132"/>
        <v>-200</v>
      </c>
      <c r="H498" s="825">
        <f t="shared" si="133"/>
        <v>-4.608294930875576E-3</v>
      </c>
      <c r="I498" s="604">
        <f t="shared" si="134"/>
        <v>1600</v>
      </c>
      <c r="J498" s="825">
        <f t="shared" si="135"/>
        <v>3.8461538461538464E-2</v>
      </c>
    </row>
    <row r="499" spans="1:10" x14ac:dyDescent="0.2">
      <c r="A499" s="76" t="s">
        <v>134</v>
      </c>
      <c r="B499" s="88">
        <f>SUM(B500:B504)</f>
        <v>43400</v>
      </c>
      <c r="C499" s="88">
        <f>SUM(C500:C504)</f>
        <v>-1600</v>
      </c>
      <c r="D499" s="549">
        <f>SUM(D500:D504)</f>
        <v>-200</v>
      </c>
      <c r="E499" s="88">
        <f t="shared" si="131"/>
        <v>41600</v>
      </c>
      <c r="F499" s="549">
        <f>SUM(F500:F504)</f>
        <v>43200</v>
      </c>
      <c r="G499" s="549">
        <f t="shared" si="132"/>
        <v>-200</v>
      </c>
      <c r="H499" s="815">
        <f t="shared" si="133"/>
        <v>-4.608294930875576E-3</v>
      </c>
      <c r="I499" s="549">
        <f t="shared" si="134"/>
        <v>1600</v>
      </c>
      <c r="J499" s="815">
        <f t="shared" si="135"/>
        <v>3.8461538461538464E-2</v>
      </c>
    </row>
    <row r="500" spans="1:10" x14ac:dyDescent="0.2">
      <c r="A500" s="77" t="s">
        <v>189</v>
      </c>
      <c r="B500" s="90">
        <v>3000</v>
      </c>
      <c r="C500" s="90"/>
      <c r="D500" s="558">
        <v>200</v>
      </c>
      <c r="E500" s="90">
        <f t="shared" si="131"/>
        <v>3200</v>
      </c>
      <c r="F500" s="558">
        <v>3000</v>
      </c>
      <c r="G500" s="558">
        <f t="shared" si="132"/>
        <v>0</v>
      </c>
      <c r="H500" s="814">
        <f t="shared" si="133"/>
        <v>0</v>
      </c>
      <c r="I500" s="558">
        <f t="shared" si="134"/>
        <v>-200</v>
      </c>
      <c r="J500" s="814">
        <f t="shared" si="135"/>
        <v>-6.25E-2</v>
      </c>
    </row>
    <row r="501" spans="1:10" x14ac:dyDescent="0.2">
      <c r="A501" s="79" t="s">
        <v>182</v>
      </c>
      <c r="B501" s="89">
        <v>33500</v>
      </c>
      <c r="C501" s="89">
        <v>1000</v>
      </c>
      <c r="D501" s="553">
        <v>-500</v>
      </c>
      <c r="E501" s="90">
        <f t="shared" si="131"/>
        <v>34000</v>
      </c>
      <c r="F501" s="558">
        <v>35000</v>
      </c>
      <c r="G501" s="558">
        <f t="shared" si="132"/>
        <v>1500</v>
      </c>
      <c r="H501" s="814">
        <f t="shared" si="133"/>
        <v>4.4776119402985072E-2</v>
      </c>
      <c r="I501" s="558">
        <f t="shared" si="134"/>
        <v>1000</v>
      </c>
      <c r="J501" s="814">
        <f t="shared" si="135"/>
        <v>2.9411764705882353E-2</v>
      </c>
    </row>
    <row r="502" spans="1:10" ht="25.5" x14ac:dyDescent="0.2">
      <c r="A502" s="79" t="s">
        <v>312</v>
      </c>
      <c r="B502" s="89">
        <v>1500</v>
      </c>
      <c r="C502" s="89">
        <v>-500</v>
      </c>
      <c r="D502" s="553">
        <v>-100</v>
      </c>
      <c r="E502" s="90">
        <f t="shared" ref="E502:E565" si="136">B502+C502+D502</f>
        <v>900</v>
      </c>
      <c r="F502" s="558">
        <v>1500</v>
      </c>
      <c r="G502" s="558">
        <f t="shared" si="132"/>
        <v>0</v>
      </c>
      <c r="H502" s="814">
        <f t="shared" si="133"/>
        <v>0</v>
      </c>
      <c r="I502" s="558">
        <f t="shared" si="134"/>
        <v>600</v>
      </c>
      <c r="J502" s="814">
        <f t="shared" si="135"/>
        <v>0.66666666666666663</v>
      </c>
    </row>
    <row r="503" spans="1:10" x14ac:dyDescent="0.2">
      <c r="A503" s="79" t="s">
        <v>168</v>
      </c>
      <c r="B503" s="89">
        <v>3700</v>
      </c>
      <c r="C503" s="89">
        <v>-2100</v>
      </c>
      <c r="D503" s="553">
        <v>-400</v>
      </c>
      <c r="E503" s="90">
        <f t="shared" si="136"/>
        <v>1200</v>
      </c>
      <c r="F503" s="558">
        <v>2000</v>
      </c>
      <c r="G503" s="558">
        <f t="shared" si="132"/>
        <v>-1700</v>
      </c>
      <c r="H503" s="814">
        <f t="shared" si="133"/>
        <v>-0.45945945945945948</v>
      </c>
      <c r="I503" s="558">
        <f t="shared" si="134"/>
        <v>800</v>
      </c>
      <c r="J503" s="814">
        <f t="shared" si="135"/>
        <v>0.66666666666666663</v>
      </c>
    </row>
    <row r="504" spans="1:10" x14ac:dyDescent="0.2">
      <c r="A504" s="79" t="s">
        <v>192</v>
      </c>
      <c r="B504" s="89">
        <v>1700</v>
      </c>
      <c r="C504" s="89"/>
      <c r="D504" s="553">
        <v>600</v>
      </c>
      <c r="E504" s="90">
        <f t="shared" si="136"/>
        <v>2300</v>
      </c>
      <c r="F504" s="558">
        <v>1700</v>
      </c>
      <c r="G504" s="558">
        <f t="shared" si="132"/>
        <v>0</v>
      </c>
      <c r="H504" s="814">
        <f t="shared" si="133"/>
        <v>0</v>
      </c>
      <c r="I504" s="558">
        <f t="shared" si="134"/>
        <v>-600</v>
      </c>
      <c r="J504" s="814">
        <f t="shared" si="135"/>
        <v>-0.2608695652173913</v>
      </c>
    </row>
    <row r="505" spans="1:10" x14ac:dyDescent="0.2">
      <c r="A505" s="77"/>
      <c r="B505" s="90"/>
      <c r="C505" s="90"/>
      <c r="D505" s="558"/>
      <c r="E505" s="90">
        <f t="shared" si="136"/>
        <v>0</v>
      </c>
      <c r="F505" s="558"/>
      <c r="G505" s="558">
        <f t="shared" si="132"/>
        <v>0</v>
      </c>
      <c r="H505" s="814"/>
      <c r="I505" s="558">
        <f t="shared" si="134"/>
        <v>0</v>
      </c>
      <c r="J505" s="814"/>
    </row>
    <row r="506" spans="1:10" x14ac:dyDescent="0.2">
      <c r="A506" s="76" t="s">
        <v>1142</v>
      </c>
      <c r="B506" s="269">
        <f>B507+B510</f>
        <v>169300</v>
      </c>
      <c r="C506" s="269">
        <f>C507+C510</f>
        <v>-41000</v>
      </c>
      <c r="D506" s="576">
        <f>D507+D510</f>
        <v>-13050</v>
      </c>
      <c r="E506" s="269">
        <f t="shared" si="136"/>
        <v>115250</v>
      </c>
      <c r="F506" s="549">
        <f>F507+F510</f>
        <v>147200</v>
      </c>
      <c r="G506" s="549">
        <f t="shared" si="132"/>
        <v>-22100</v>
      </c>
      <c r="H506" s="815">
        <f t="shared" si="133"/>
        <v>-0.13053750738334319</v>
      </c>
      <c r="I506" s="549">
        <f t="shared" si="134"/>
        <v>31950</v>
      </c>
      <c r="J506" s="815">
        <f t="shared" si="135"/>
        <v>0.27722342733188721</v>
      </c>
    </row>
    <row r="507" spans="1:10" x14ac:dyDescent="0.2">
      <c r="A507" s="76" t="s">
        <v>124</v>
      </c>
      <c r="B507" s="88">
        <f>SUM(B508:B509)</f>
        <v>61800</v>
      </c>
      <c r="C507" s="88">
        <f>SUM(C508:C509)</f>
        <v>0</v>
      </c>
      <c r="D507" s="549">
        <f>SUM(D508:D509)</f>
        <v>1450</v>
      </c>
      <c r="E507" s="88">
        <f t="shared" si="136"/>
        <v>63250</v>
      </c>
      <c r="F507" s="549">
        <f>SUM(F508:F509)</f>
        <v>63200</v>
      </c>
      <c r="G507" s="549">
        <f t="shared" si="132"/>
        <v>1400</v>
      </c>
      <c r="H507" s="815">
        <f t="shared" si="133"/>
        <v>2.2653721682847898E-2</v>
      </c>
      <c r="I507" s="549">
        <f t="shared" si="134"/>
        <v>-50</v>
      </c>
      <c r="J507" s="815">
        <f t="shared" si="135"/>
        <v>-7.9051383399209485E-4</v>
      </c>
    </row>
    <row r="508" spans="1:10" x14ac:dyDescent="0.2">
      <c r="A508" s="77" t="s">
        <v>162</v>
      </c>
      <c r="B508" s="90">
        <v>28300</v>
      </c>
      <c r="C508" s="90"/>
      <c r="D508" s="558">
        <v>450</v>
      </c>
      <c r="E508" s="90">
        <f t="shared" si="136"/>
        <v>28750</v>
      </c>
      <c r="F508" s="558">
        <v>29700</v>
      </c>
      <c r="G508" s="558">
        <f t="shared" si="132"/>
        <v>1400</v>
      </c>
      <c r="H508" s="814">
        <f t="shared" si="133"/>
        <v>4.9469964664310952E-2</v>
      </c>
      <c r="I508" s="558">
        <f t="shared" si="134"/>
        <v>950</v>
      </c>
      <c r="J508" s="814">
        <f t="shared" si="135"/>
        <v>3.3043478260869563E-2</v>
      </c>
    </row>
    <row r="509" spans="1:10" x14ac:dyDescent="0.2">
      <c r="A509" s="77" t="s">
        <v>163</v>
      </c>
      <c r="B509" s="90">
        <v>33500</v>
      </c>
      <c r="C509" s="90"/>
      <c r="D509" s="558">
        <v>1000</v>
      </c>
      <c r="E509" s="90">
        <f t="shared" si="136"/>
        <v>34500</v>
      </c>
      <c r="F509" s="558">
        <v>33500</v>
      </c>
      <c r="G509" s="558">
        <f t="shared" si="132"/>
        <v>0</v>
      </c>
      <c r="H509" s="814">
        <f t="shared" si="133"/>
        <v>0</v>
      </c>
      <c r="I509" s="558">
        <f t="shared" si="134"/>
        <v>-1000</v>
      </c>
      <c r="J509" s="814">
        <f t="shared" si="135"/>
        <v>-2.8985507246376812E-2</v>
      </c>
    </row>
    <row r="510" spans="1:10" x14ac:dyDescent="0.2">
      <c r="A510" s="81" t="s">
        <v>125</v>
      </c>
      <c r="B510" s="91">
        <f>SUM(B511:B512)</f>
        <v>107500</v>
      </c>
      <c r="C510" s="91">
        <f>SUM(C511:C512)</f>
        <v>-41000</v>
      </c>
      <c r="D510" s="560">
        <f>SUM(D511:D512)</f>
        <v>-14500</v>
      </c>
      <c r="E510" s="91">
        <f t="shared" si="136"/>
        <v>52000</v>
      </c>
      <c r="F510" s="560">
        <f>SUM(F511:F512)</f>
        <v>84000</v>
      </c>
      <c r="G510" s="560">
        <f t="shared" si="132"/>
        <v>-23500</v>
      </c>
      <c r="H510" s="820">
        <f t="shared" si="133"/>
        <v>-0.21860465116279071</v>
      </c>
      <c r="I510" s="560">
        <f t="shared" si="134"/>
        <v>32000</v>
      </c>
      <c r="J510" s="820">
        <f t="shared" si="135"/>
        <v>0.61538461538461542</v>
      </c>
    </row>
    <row r="511" spans="1:10" x14ac:dyDescent="0.2">
      <c r="A511" s="77" t="s">
        <v>170</v>
      </c>
      <c r="B511" s="90">
        <v>105000</v>
      </c>
      <c r="C511" s="90">
        <v>-38500</v>
      </c>
      <c r="D511" s="558">
        <v>-14500</v>
      </c>
      <c r="E511" s="90">
        <f t="shared" si="136"/>
        <v>52000</v>
      </c>
      <c r="F511" s="558">
        <v>84000</v>
      </c>
      <c r="G511" s="558">
        <f t="shared" si="132"/>
        <v>-21000</v>
      </c>
      <c r="H511" s="814">
        <f t="shared" si="133"/>
        <v>-0.2</v>
      </c>
      <c r="I511" s="558">
        <f t="shared" si="134"/>
        <v>32000</v>
      </c>
      <c r="J511" s="814">
        <f t="shared" si="135"/>
        <v>0.61538461538461542</v>
      </c>
    </row>
    <row r="512" spans="1:10" x14ac:dyDescent="0.2">
      <c r="A512" s="79" t="s">
        <v>190</v>
      </c>
      <c r="B512" s="89">
        <v>2500</v>
      </c>
      <c r="C512" s="89">
        <v>-2500</v>
      </c>
      <c r="D512" s="553"/>
      <c r="E512" s="90">
        <f t="shared" si="136"/>
        <v>0</v>
      </c>
      <c r="F512" s="553"/>
      <c r="G512" s="553">
        <f t="shared" si="132"/>
        <v>-2500</v>
      </c>
      <c r="H512" s="819">
        <f t="shared" si="133"/>
        <v>-1</v>
      </c>
      <c r="I512" s="553">
        <f t="shared" si="134"/>
        <v>0</v>
      </c>
      <c r="J512" s="819"/>
    </row>
    <row r="513" spans="1:10" x14ac:dyDescent="0.2">
      <c r="A513" s="77"/>
      <c r="B513" s="90"/>
      <c r="C513" s="90"/>
      <c r="D513" s="558"/>
      <c r="E513" s="90">
        <f t="shared" si="136"/>
        <v>0</v>
      </c>
      <c r="F513" s="558"/>
      <c r="G513" s="558">
        <f t="shared" si="132"/>
        <v>0</v>
      </c>
      <c r="H513" s="814"/>
      <c r="I513" s="558">
        <f t="shared" si="134"/>
        <v>0</v>
      </c>
      <c r="J513" s="814"/>
    </row>
    <row r="514" spans="1:10" x14ac:dyDescent="0.2">
      <c r="A514" s="76" t="s">
        <v>1143</v>
      </c>
      <c r="B514" s="269">
        <f>B515+B520</f>
        <v>72200</v>
      </c>
      <c r="C514" s="269">
        <f>C515+C520</f>
        <v>-17000</v>
      </c>
      <c r="D514" s="576">
        <f>D515+D520</f>
        <v>4500</v>
      </c>
      <c r="E514" s="269">
        <f t="shared" si="136"/>
        <v>59700</v>
      </c>
      <c r="F514" s="549">
        <f>F515+F520</f>
        <v>71200</v>
      </c>
      <c r="G514" s="549">
        <f t="shared" si="132"/>
        <v>-1000</v>
      </c>
      <c r="H514" s="815">
        <f t="shared" si="133"/>
        <v>-1.3850415512465374E-2</v>
      </c>
      <c r="I514" s="549">
        <f t="shared" si="134"/>
        <v>11500</v>
      </c>
      <c r="J514" s="815">
        <f t="shared" si="135"/>
        <v>0.19262981574539365</v>
      </c>
    </row>
    <row r="515" spans="1:10" x14ac:dyDescent="0.2">
      <c r="A515" s="76" t="s">
        <v>128</v>
      </c>
      <c r="B515" s="88">
        <f>SUM(B516:B519)</f>
        <v>53100</v>
      </c>
      <c r="C515" s="88">
        <f>SUM(C516:C519)</f>
        <v>-15000</v>
      </c>
      <c r="D515" s="549">
        <f>SUM(D516:D519)</f>
        <v>6000</v>
      </c>
      <c r="E515" s="88">
        <f t="shared" si="136"/>
        <v>44100</v>
      </c>
      <c r="F515" s="549">
        <f>SUM(F516:F519)</f>
        <v>52100</v>
      </c>
      <c r="G515" s="549">
        <f t="shared" si="132"/>
        <v>-1000</v>
      </c>
      <c r="H515" s="815">
        <f t="shared" si="133"/>
        <v>-1.8832391713747645E-2</v>
      </c>
      <c r="I515" s="549">
        <f t="shared" si="134"/>
        <v>8000</v>
      </c>
      <c r="J515" s="815">
        <f t="shared" si="135"/>
        <v>0.18140589569160998</v>
      </c>
    </row>
    <row r="516" spans="1:10" x14ac:dyDescent="0.2">
      <c r="A516" s="77" t="s">
        <v>170</v>
      </c>
      <c r="B516" s="90">
        <v>14000</v>
      </c>
      <c r="C516" s="90">
        <v>-5000</v>
      </c>
      <c r="D516" s="558">
        <v>8000</v>
      </c>
      <c r="E516" s="90">
        <f t="shared" si="136"/>
        <v>17000</v>
      </c>
      <c r="F516" s="558">
        <v>12000</v>
      </c>
      <c r="G516" s="558">
        <f t="shared" si="132"/>
        <v>-2000</v>
      </c>
      <c r="H516" s="814">
        <f t="shared" si="133"/>
        <v>-0.14285714285714285</v>
      </c>
      <c r="I516" s="558">
        <f t="shared" si="134"/>
        <v>-5000</v>
      </c>
      <c r="J516" s="814">
        <f t="shared" si="135"/>
        <v>-0.29411764705882354</v>
      </c>
    </row>
    <row r="517" spans="1:10" x14ac:dyDescent="0.2">
      <c r="A517" s="77" t="s">
        <v>165</v>
      </c>
      <c r="B517" s="90">
        <v>9000</v>
      </c>
      <c r="C517" s="90">
        <v>-1000</v>
      </c>
      <c r="D517" s="558">
        <v>1000</v>
      </c>
      <c r="E517" s="90">
        <f t="shared" si="136"/>
        <v>9000</v>
      </c>
      <c r="F517" s="558">
        <v>10000</v>
      </c>
      <c r="G517" s="558">
        <f t="shared" si="132"/>
        <v>1000</v>
      </c>
      <c r="H517" s="814">
        <f t="shared" si="133"/>
        <v>0.1111111111111111</v>
      </c>
      <c r="I517" s="558">
        <f t="shared" si="134"/>
        <v>1000</v>
      </c>
      <c r="J517" s="814">
        <f t="shared" si="135"/>
        <v>0.1111111111111111</v>
      </c>
    </row>
    <row r="518" spans="1:10" ht="25.5" x14ac:dyDescent="0.2">
      <c r="A518" s="79" t="s">
        <v>175</v>
      </c>
      <c r="B518" s="90">
        <v>30000</v>
      </c>
      <c r="C518" s="90">
        <v>-9000</v>
      </c>
      <c r="D518" s="558">
        <v>-3000</v>
      </c>
      <c r="E518" s="90">
        <f t="shared" si="136"/>
        <v>18000</v>
      </c>
      <c r="F518" s="558">
        <v>30000</v>
      </c>
      <c r="G518" s="558">
        <f t="shared" ref="G518:G581" si="137">F518-B518</f>
        <v>0</v>
      </c>
      <c r="H518" s="814">
        <f t="shared" ref="H518:H581" si="138">G518/B518</f>
        <v>0</v>
      </c>
      <c r="I518" s="558">
        <f t="shared" ref="I518:I581" si="139">F518-E518</f>
        <v>12000</v>
      </c>
      <c r="J518" s="814">
        <f t="shared" ref="J518:J581" si="140">I518/E518</f>
        <v>0.66666666666666663</v>
      </c>
    </row>
    <row r="519" spans="1:10" x14ac:dyDescent="0.2">
      <c r="A519" s="77" t="s">
        <v>169</v>
      </c>
      <c r="B519" s="90">
        <v>100</v>
      </c>
      <c r="C519" s="90"/>
      <c r="D519" s="558"/>
      <c r="E519" s="90">
        <f t="shared" si="136"/>
        <v>100</v>
      </c>
      <c r="F519" s="558">
        <v>100</v>
      </c>
      <c r="G519" s="558">
        <f t="shared" si="137"/>
        <v>0</v>
      </c>
      <c r="H519" s="814">
        <f t="shared" si="138"/>
        <v>0</v>
      </c>
      <c r="I519" s="558">
        <f t="shared" si="139"/>
        <v>0</v>
      </c>
      <c r="J519" s="814">
        <f t="shared" si="140"/>
        <v>0</v>
      </c>
    </row>
    <row r="520" spans="1:10" x14ac:dyDescent="0.2">
      <c r="A520" s="76" t="s">
        <v>129</v>
      </c>
      <c r="B520" s="88">
        <f>SUM(B521:B523)</f>
        <v>19100</v>
      </c>
      <c r="C520" s="88">
        <f>SUM(C521:C523)</f>
        <v>-2000</v>
      </c>
      <c r="D520" s="549">
        <f>SUM(D521:D523)</f>
        <v>-1500</v>
      </c>
      <c r="E520" s="88">
        <f t="shared" si="136"/>
        <v>15600</v>
      </c>
      <c r="F520" s="549">
        <f>SUM(F521:F523)</f>
        <v>19100</v>
      </c>
      <c r="G520" s="549">
        <f t="shared" si="137"/>
        <v>0</v>
      </c>
      <c r="H520" s="815">
        <f t="shared" si="138"/>
        <v>0</v>
      </c>
      <c r="I520" s="549">
        <f t="shared" si="139"/>
        <v>3500</v>
      </c>
      <c r="J520" s="815">
        <f t="shared" si="140"/>
        <v>0.22435897435897437</v>
      </c>
    </row>
    <row r="521" spans="1:10" ht="25.5" x14ac:dyDescent="0.2">
      <c r="A521" s="79" t="s">
        <v>313</v>
      </c>
      <c r="B521" s="89">
        <v>17000</v>
      </c>
      <c r="C521" s="89">
        <v>-1000</v>
      </c>
      <c r="D521" s="553">
        <v>-1400</v>
      </c>
      <c r="E521" s="89">
        <f t="shared" si="136"/>
        <v>14600</v>
      </c>
      <c r="F521" s="558">
        <v>17000</v>
      </c>
      <c r="G521" s="558">
        <f t="shared" si="137"/>
        <v>0</v>
      </c>
      <c r="H521" s="814">
        <f t="shared" si="138"/>
        <v>0</v>
      </c>
      <c r="I521" s="558">
        <f t="shared" si="139"/>
        <v>2400</v>
      </c>
      <c r="J521" s="814">
        <f t="shared" si="140"/>
        <v>0.16438356164383561</v>
      </c>
    </row>
    <row r="522" spans="1:10" x14ac:dyDescent="0.2">
      <c r="A522" s="79" t="s">
        <v>172</v>
      </c>
      <c r="B522" s="89">
        <v>2000</v>
      </c>
      <c r="C522" s="89">
        <v>-1000</v>
      </c>
      <c r="D522" s="553"/>
      <c r="E522" s="89">
        <f t="shared" si="136"/>
        <v>1000</v>
      </c>
      <c r="F522" s="558">
        <v>2000</v>
      </c>
      <c r="G522" s="558">
        <f t="shared" si="137"/>
        <v>0</v>
      </c>
      <c r="H522" s="814">
        <f t="shared" si="138"/>
        <v>0</v>
      </c>
      <c r="I522" s="558">
        <f t="shared" si="139"/>
        <v>1000</v>
      </c>
      <c r="J522" s="814">
        <f t="shared" si="140"/>
        <v>1</v>
      </c>
    </row>
    <row r="523" spans="1:10" ht="25.5" x14ac:dyDescent="0.2">
      <c r="A523" s="79" t="s">
        <v>171</v>
      </c>
      <c r="B523" s="89">
        <v>100</v>
      </c>
      <c r="C523" s="89"/>
      <c r="D523" s="553">
        <v>-100</v>
      </c>
      <c r="E523" s="89">
        <f t="shared" si="136"/>
        <v>0</v>
      </c>
      <c r="F523" s="558">
        <v>100</v>
      </c>
      <c r="G523" s="558">
        <f t="shared" si="137"/>
        <v>0</v>
      </c>
      <c r="H523" s="814">
        <f t="shared" si="138"/>
        <v>0</v>
      </c>
      <c r="I523" s="558">
        <f t="shared" si="139"/>
        <v>100</v>
      </c>
      <c r="J523" s="814"/>
    </row>
    <row r="524" spans="1:10" x14ac:dyDescent="0.2">
      <c r="A524" s="79"/>
      <c r="B524" s="89"/>
      <c r="C524" s="89"/>
      <c r="D524" s="89"/>
      <c r="E524" s="89">
        <f t="shared" si="136"/>
        <v>0</v>
      </c>
      <c r="F524" s="89"/>
      <c r="G524" s="89">
        <f t="shared" si="137"/>
        <v>0</v>
      </c>
      <c r="H524" s="530"/>
      <c r="I524" s="89">
        <f t="shared" si="139"/>
        <v>0</v>
      </c>
      <c r="J524" s="530"/>
    </row>
    <row r="525" spans="1:10" x14ac:dyDescent="0.2">
      <c r="A525" s="78" t="s">
        <v>1144</v>
      </c>
      <c r="B525" s="87">
        <f>B527+B542</f>
        <v>329796</v>
      </c>
      <c r="C525" s="87">
        <f>C527+C542</f>
        <v>17475</v>
      </c>
      <c r="D525" s="548">
        <f>D527+D542</f>
        <v>10190</v>
      </c>
      <c r="E525" s="87">
        <f t="shared" si="136"/>
        <v>357461</v>
      </c>
      <c r="F525" s="548">
        <f>F527+F542</f>
        <v>336203</v>
      </c>
      <c r="G525" s="548">
        <f t="shared" si="137"/>
        <v>6407</v>
      </c>
      <c r="H525" s="818">
        <f t="shared" si="138"/>
        <v>1.9427161032880932E-2</v>
      </c>
      <c r="I525" s="548">
        <f t="shared" si="139"/>
        <v>-21258</v>
      </c>
      <c r="J525" s="818">
        <f t="shared" si="140"/>
        <v>-5.9469424636533777E-2</v>
      </c>
    </row>
    <row r="526" spans="1:10" x14ac:dyDescent="0.2">
      <c r="A526" s="80"/>
      <c r="B526" s="94"/>
      <c r="C526" s="94"/>
      <c r="D526" s="551"/>
      <c r="E526" s="94">
        <f t="shared" si="136"/>
        <v>0</v>
      </c>
      <c r="F526" s="551"/>
      <c r="G526" s="551">
        <f t="shared" si="137"/>
        <v>0</v>
      </c>
      <c r="H526" s="822"/>
      <c r="I526" s="551">
        <f t="shared" si="139"/>
        <v>0</v>
      </c>
      <c r="J526" s="822"/>
    </row>
    <row r="527" spans="1:10" x14ac:dyDescent="0.2">
      <c r="A527" s="76" t="s">
        <v>1145</v>
      </c>
      <c r="B527" s="88">
        <f>B528+B531+B535+B538</f>
        <v>293696</v>
      </c>
      <c r="C527" s="88">
        <f>C528+C531+C535+C538</f>
        <v>16275</v>
      </c>
      <c r="D527" s="549">
        <f>D528+D531+D535+D538</f>
        <v>6990</v>
      </c>
      <c r="E527" s="88">
        <f t="shared" si="136"/>
        <v>316961</v>
      </c>
      <c r="F527" s="549">
        <f>F528+F531+F535+F538</f>
        <v>294953</v>
      </c>
      <c r="G527" s="549">
        <f t="shared" si="137"/>
        <v>1257</v>
      </c>
      <c r="H527" s="815">
        <f t="shared" si="138"/>
        <v>4.2799357158422313E-3</v>
      </c>
      <c r="I527" s="549">
        <f t="shared" si="139"/>
        <v>-22008</v>
      </c>
      <c r="J527" s="815">
        <f t="shared" si="140"/>
        <v>-6.943440991162951E-2</v>
      </c>
    </row>
    <row r="528" spans="1:10" x14ac:dyDescent="0.2">
      <c r="A528" s="76" t="s">
        <v>132</v>
      </c>
      <c r="B528" s="88">
        <f>B529+B530</f>
        <v>29790</v>
      </c>
      <c r="C528" s="88">
        <f>C529+C530</f>
        <v>0</v>
      </c>
      <c r="D528" s="549">
        <f>D529+D530</f>
        <v>0</v>
      </c>
      <c r="E528" s="88">
        <f t="shared" si="136"/>
        <v>29790</v>
      </c>
      <c r="F528" s="549">
        <f>F529+F530</f>
        <v>29790</v>
      </c>
      <c r="G528" s="549">
        <f t="shared" si="137"/>
        <v>0</v>
      </c>
      <c r="H528" s="815">
        <f t="shared" si="138"/>
        <v>0</v>
      </c>
      <c r="I528" s="549">
        <f t="shared" si="139"/>
        <v>0</v>
      </c>
      <c r="J528" s="815">
        <f t="shared" si="140"/>
        <v>0</v>
      </c>
    </row>
    <row r="529" spans="1:10" x14ac:dyDescent="0.2">
      <c r="A529" s="77" t="s">
        <v>179</v>
      </c>
      <c r="B529" s="90">
        <v>15370</v>
      </c>
      <c r="C529" s="90"/>
      <c r="D529" s="558"/>
      <c r="E529" s="90">
        <f t="shared" si="136"/>
        <v>15370</v>
      </c>
      <c r="F529" s="558">
        <v>15370</v>
      </c>
      <c r="G529" s="558">
        <f t="shared" si="137"/>
        <v>0</v>
      </c>
      <c r="H529" s="814">
        <f t="shared" si="138"/>
        <v>0</v>
      </c>
      <c r="I529" s="558">
        <f t="shared" si="139"/>
        <v>0</v>
      </c>
      <c r="J529" s="814">
        <f t="shared" si="140"/>
        <v>0</v>
      </c>
    </row>
    <row r="530" spans="1:10" x14ac:dyDescent="0.2">
      <c r="A530" s="77" t="s">
        <v>163</v>
      </c>
      <c r="B530" s="90">
        <v>14420</v>
      </c>
      <c r="C530" s="90"/>
      <c r="D530" s="558"/>
      <c r="E530" s="90">
        <f t="shared" si="136"/>
        <v>14420</v>
      </c>
      <c r="F530" s="558">
        <v>14420</v>
      </c>
      <c r="G530" s="558">
        <f t="shared" si="137"/>
        <v>0</v>
      </c>
      <c r="H530" s="814">
        <f t="shared" si="138"/>
        <v>0</v>
      </c>
      <c r="I530" s="558">
        <f t="shared" si="139"/>
        <v>0</v>
      </c>
      <c r="J530" s="814">
        <f t="shared" si="140"/>
        <v>0</v>
      </c>
    </row>
    <row r="531" spans="1:10" x14ac:dyDescent="0.2">
      <c r="A531" s="76" t="s">
        <v>124</v>
      </c>
      <c r="B531" s="88">
        <f>SUM(B532:B534)</f>
        <v>32397</v>
      </c>
      <c r="C531" s="88">
        <f>SUM(C532:C534)</f>
        <v>0</v>
      </c>
      <c r="D531" s="549">
        <f>SUM(D532:D534)</f>
        <v>-935</v>
      </c>
      <c r="E531" s="88">
        <f t="shared" si="136"/>
        <v>31462</v>
      </c>
      <c r="F531" s="549">
        <f>SUM(F532:F534)</f>
        <v>32995</v>
      </c>
      <c r="G531" s="549">
        <f t="shared" si="137"/>
        <v>598</v>
      </c>
      <c r="H531" s="815">
        <f t="shared" si="138"/>
        <v>1.8458499243757139E-2</v>
      </c>
      <c r="I531" s="549">
        <f t="shared" si="139"/>
        <v>1533</v>
      </c>
      <c r="J531" s="815">
        <f t="shared" si="140"/>
        <v>4.8725446570465958E-2</v>
      </c>
    </row>
    <row r="532" spans="1:10" x14ac:dyDescent="0.2">
      <c r="A532" s="77" t="s">
        <v>162</v>
      </c>
      <c r="B532" s="90">
        <v>26981</v>
      </c>
      <c r="C532" s="90"/>
      <c r="D532" s="558">
        <v>-935</v>
      </c>
      <c r="E532" s="90">
        <f t="shared" si="136"/>
        <v>26046</v>
      </c>
      <c r="F532" s="558">
        <v>27579</v>
      </c>
      <c r="G532" s="558">
        <f t="shared" si="137"/>
        <v>598</v>
      </c>
      <c r="H532" s="814">
        <f t="shared" si="138"/>
        <v>2.2163744857492309E-2</v>
      </c>
      <c r="I532" s="558">
        <f t="shared" si="139"/>
        <v>1533</v>
      </c>
      <c r="J532" s="814">
        <f t="shared" si="140"/>
        <v>5.8857406127620367E-2</v>
      </c>
    </row>
    <row r="533" spans="1:10" x14ac:dyDescent="0.2">
      <c r="A533" s="77" t="s">
        <v>163</v>
      </c>
      <c r="B533" s="90">
        <v>1300</v>
      </c>
      <c r="C533" s="90"/>
      <c r="D533" s="558"/>
      <c r="E533" s="90">
        <f t="shared" si="136"/>
        <v>1300</v>
      </c>
      <c r="F533" s="558">
        <v>1300</v>
      </c>
      <c r="G533" s="558">
        <f t="shared" si="137"/>
        <v>0</v>
      </c>
      <c r="H533" s="814">
        <f t="shared" si="138"/>
        <v>0</v>
      </c>
      <c r="I533" s="558">
        <f t="shared" si="139"/>
        <v>0</v>
      </c>
      <c r="J533" s="814">
        <f t="shared" si="140"/>
        <v>0</v>
      </c>
    </row>
    <row r="534" spans="1:10" x14ac:dyDescent="0.2">
      <c r="A534" s="77" t="s">
        <v>311</v>
      </c>
      <c r="B534" s="90">
        <v>4116</v>
      </c>
      <c r="C534" s="90"/>
      <c r="D534" s="558"/>
      <c r="E534" s="90">
        <f t="shared" si="136"/>
        <v>4116</v>
      </c>
      <c r="F534" s="558">
        <v>4116</v>
      </c>
      <c r="G534" s="558">
        <f t="shared" si="137"/>
        <v>0</v>
      </c>
      <c r="H534" s="814">
        <f t="shared" si="138"/>
        <v>0</v>
      </c>
      <c r="I534" s="558">
        <f t="shared" si="139"/>
        <v>0</v>
      </c>
      <c r="J534" s="814">
        <f t="shared" si="140"/>
        <v>0</v>
      </c>
    </row>
    <row r="535" spans="1:10" x14ac:dyDescent="0.2">
      <c r="A535" s="76" t="s">
        <v>131</v>
      </c>
      <c r="B535" s="88">
        <f>B536+B537</f>
        <v>32119</v>
      </c>
      <c r="C535" s="88">
        <f>C536+C537</f>
        <v>2675</v>
      </c>
      <c r="D535" s="549">
        <f>D536+D537</f>
        <v>3960</v>
      </c>
      <c r="E535" s="88">
        <f t="shared" si="136"/>
        <v>38754</v>
      </c>
      <c r="F535" s="549">
        <f>F536+F537</f>
        <v>30358</v>
      </c>
      <c r="G535" s="549">
        <f t="shared" si="137"/>
        <v>-1761</v>
      </c>
      <c r="H535" s="815">
        <f t="shared" si="138"/>
        <v>-5.4827360752202743E-2</v>
      </c>
      <c r="I535" s="549">
        <f t="shared" si="139"/>
        <v>-8396</v>
      </c>
      <c r="J535" s="815">
        <f t="shared" si="140"/>
        <v>-0.21664860401506941</v>
      </c>
    </row>
    <row r="536" spans="1:10" x14ac:dyDescent="0.2">
      <c r="A536" s="79" t="s">
        <v>188</v>
      </c>
      <c r="B536" s="89">
        <v>26094</v>
      </c>
      <c r="C536" s="89">
        <v>5000</v>
      </c>
      <c r="D536" s="553">
        <v>7600</v>
      </c>
      <c r="E536" s="89">
        <f t="shared" si="136"/>
        <v>38694</v>
      </c>
      <c r="F536" s="553">
        <v>24333</v>
      </c>
      <c r="G536" s="553">
        <f t="shared" si="137"/>
        <v>-1761</v>
      </c>
      <c r="H536" s="819">
        <f t="shared" si="138"/>
        <v>-6.748677856978616E-2</v>
      </c>
      <c r="I536" s="553">
        <f t="shared" si="139"/>
        <v>-14361</v>
      </c>
      <c r="J536" s="819">
        <f t="shared" si="140"/>
        <v>-0.37114281283919986</v>
      </c>
    </row>
    <row r="537" spans="1:10" ht="25.5" x14ac:dyDescent="0.2">
      <c r="A537" s="85" t="s">
        <v>187</v>
      </c>
      <c r="B537" s="89">
        <v>6025</v>
      </c>
      <c r="C537" s="89">
        <v>-2325</v>
      </c>
      <c r="D537" s="553">
        <v>-3640</v>
      </c>
      <c r="E537" s="89">
        <f t="shared" si="136"/>
        <v>60</v>
      </c>
      <c r="F537" s="553">
        <v>6025</v>
      </c>
      <c r="G537" s="553">
        <f t="shared" si="137"/>
        <v>0</v>
      </c>
      <c r="H537" s="819">
        <f t="shared" si="138"/>
        <v>0</v>
      </c>
      <c r="I537" s="553">
        <f t="shared" si="139"/>
        <v>5965</v>
      </c>
      <c r="J537" s="819">
        <f t="shared" si="140"/>
        <v>99.416666666666671</v>
      </c>
    </row>
    <row r="538" spans="1:10" x14ac:dyDescent="0.2">
      <c r="A538" s="76" t="s">
        <v>125</v>
      </c>
      <c r="B538" s="88">
        <f>SUM(B539:B540)</f>
        <v>199390</v>
      </c>
      <c r="C538" s="88">
        <f>SUM(C539:C540)</f>
        <v>13600</v>
      </c>
      <c r="D538" s="549">
        <f>SUM(D539:D540)</f>
        <v>3965</v>
      </c>
      <c r="E538" s="88">
        <f t="shared" si="136"/>
        <v>216955</v>
      </c>
      <c r="F538" s="549">
        <f>SUM(F539:F540)</f>
        <v>201810</v>
      </c>
      <c r="G538" s="549">
        <f t="shared" si="137"/>
        <v>2420</v>
      </c>
      <c r="H538" s="815">
        <f t="shared" si="138"/>
        <v>1.2137017904609058E-2</v>
      </c>
      <c r="I538" s="549">
        <f t="shared" si="139"/>
        <v>-15145</v>
      </c>
      <c r="J538" s="815">
        <f t="shared" si="140"/>
        <v>-6.9807102855430847E-2</v>
      </c>
    </row>
    <row r="539" spans="1:10" x14ac:dyDescent="0.2">
      <c r="A539" s="77" t="s">
        <v>186</v>
      </c>
      <c r="B539" s="90">
        <v>193490</v>
      </c>
      <c r="C539" s="90">
        <v>7600</v>
      </c>
      <c r="D539" s="558">
        <v>965</v>
      </c>
      <c r="E539" s="90">
        <f t="shared" si="136"/>
        <v>202055</v>
      </c>
      <c r="F539" s="558">
        <v>195310</v>
      </c>
      <c r="G539" s="558">
        <f t="shared" si="137"/>
        <v>1820</v>
      </c>
      <c r="H539" s="814">
        <f t="shared" si="138"/>
        <v>9.4061708615432327E-3</v>
      </c>
      <c r="I539" s="558">
        <f t="shared" si="139"/>
        <v>-6745</v>
      </c>
      <c r="J539" s="814">
        <f t="shared" si="140"/>
        <v>-3.3381999950508522E-2</v>
      </c>
    </row>
    <row r="540" spans="1:10" x14ac:dyDescent="0.2">
      <c r="A540" s="79" t="s">
        <v>177</v>
      </c>
      <c r="B540" s="89">
        <v>5900</v>
      </c>
      <c r="C540" s="89">
        <v>6000</v>
      </c>
      <c r="D540" s="553">
        <v>3000</v>
      </c>
      <c r="E540" s="90">
        <f t="shared" si="136"/>
        <v>14900</v>
      </c>
      <c r="F540" s="553">
        <v>6500</v>
      </c>
      <c r="G540" s="553">
        <f t="shared" si="137"/>
        <v>600</v>
      </c>
      <c r="H540" s="819">
        <f t="shared" si="138"/>
        <v>0.10169491525423729</v>
      </c>
      <c r="I540" s="553">
        <f t="shared" si="139"/>
        <v>-8400</v>
      </c>
      <c r="J540" s="819">
        <f t="shared" si="140"/>
        <v>-0.56375838926174493</v>
      </c>
    </row>
    <row r="541" spans="1:10" x14ac:dyDescent="0.2">
      <c r="A541" s="76"/>
      <c r="B541" s="88"/>
      <c r="C541" s="88"/>
      <c r="D541" s="549"/>
      <c r="E541" s="88">
        <f t="shared" si="136"/>
        <v>0</v>
      </c>
      <c r="F541" s="549"/>
      <c r="G541" s="549">
        <f t="shared" si="137"/>
        <v>0</v>
      </c>
      <c r="H541" s="815"/>
      <c r="I541" s="549">
        <f t="shared" si="139"/>
        <v>0</v>
      </c>
      <c r="J541" s="815"/>
    </row>
    <row r="542" spans="1:10" x14ac:dyDescent="0.2">
      <c r="A542" s="128" t="s">
        <v>1146</v>
      </c>
      <c r="B542" s="134">
        <f>B543+B546</f>
        <v>36100</v>
      </c>
      <c r="C542" s="134">
        <f>C543+C546</f>
        <v>1200</v>
      </c>
      <c r="D542" s="664">
        <f>D543+D546</f>
        <v>3200</v>
      </c>
      <c r="E542" s="134">
        <f t="shared" si="136"/>
        <v>40500</v>
      </c>
      <c r="F542" s="664">
        <f>F543+F546</f>
        <v>41250</v>
      </c>
      <c r="G542" s="664">
        <f t="shared" si="137"/>
        <v>5150</v>
      </c>
      <c r="H542" s="815">
        <f t="shared" si="138"/>
        <v>0.14265927977839335</v>
      </c>
      <c r="I542" s="664">
        <f t="shared" si="139"/>
        <v>750</v>
      </c>
      <c r="J542" s="815">
        <f t="shared" si="140"/>
        <v>1.8518518518518517E-2</v>
      </c>
    </row>
    <row r="543" spans="1:10" x14ac:dyDescent="0.2">
      <c r="A543" s="128" t="s">
        <v>129</v>
      </c>
      <c r="B543" s="134">
        <f>SUM(B544:B545)</f>
        <v>3100</v>
      </c>
      <c r="C543" s="134">
        <f>SUM(C544:C545)</f>
        <v>-800</v>
      </c>
      <c r="D543" s="664">
        <f>SUM(D544:D545)</f>
        <v>-1800</v>
      </c>
      <c r="E543" s="134">
        <f t="shared" si="136"/>
        <v>500</v>
      </c>
      <c r="F543" s="664">
        <f>SUM(F544:F545)</f>
        <v>3250</v>
      </c>
      <c r="G543" s="664">
        <f t="shared" si="137"/>
        <v>150</v>
      </c>
      <c r="H543" s="815">
        <f t="shared" si="138"/>
        <v>4.8387096774193547E-2</v>
      </c>
      <c r="I543" s="664">
        <f t="shared" si="139"/>
        <v>2750</v>
      </c>
      <c r="J543" s="815">
        <f t="shared" si="140"/>
        <v>5.5</v>
      </c>
    </row>
    <row r="544" spans="1:10" ht="25.5" x14ac:dyDescent="0.2">
      <c r="A544" s="129" t="s">
        <v>313</v>
      </c>
      <c r="B544" s="135">
        <v>1000</v>
      </c>
      <c r="C544" s="135">
        <v>-800</v>
      </c>
      <c r="D544" s="665">
        <v>300</v>
      </c>
      <c r="E544" s="135">
        <f t="shared" si="136"/>
        <v>500</v>
      </c>
      <c r="F544" s="665">
        <v>1000</v>
      </c>
      <c r="G544" s="665">
        <f t="shared" si="137"/>
        <v>0</v>
      </c>
      <c r="H544" s="819">
        <f t="shared" si="138"/>
        <v>0</v>
      </c>
      <c r="I544" s="665">
        <f t="shared" si="139"/>
        <v>500</v>
      </c>
      <c r="J544" s="819">
        <f t="shared" si="140"/>
        <v>1</v>
      </c>
    </row>
    <row r="545" spans="1:10" x14ac:dyDescent="0.2">
      <c r="A545" s="129" t="s">
        <v>172</v>
      </c>
      <c r="B545" s="135">
        <v>2100</v>
      </c>
      <c r="C545" s="135"/>
      <c r="D545" s="665">
        <v>-2100</v>
      </c>
      <c r="E545" s="135">
        <f t="shared" si="136"/>
        <v>0</v>
      </c>
      <c r="F545" s="665">
        <v>2250</v>
      </c>
      <c r="G545" s="665">
        <f t="shared" si="137"/>
        <v>150</v>
      </c>
      <c r="H545" s="819">
        <f t="shared" si="138"/>
        <v>7.1428571428571425E-2</v>
      </c>
      <c r="I545" s="665">
        <f t="shared" si="139"/>
        <v>2250</v>
      </c>
      <c r="J545" s="819"/>
    </row>
    <row r="546" spans="1:10" x14ac:dyDescent="0.2">
      <c r="A546" s="76" t="s">
        <v>134</v>
      </c>
      <c r="B546" s="88">
        <f>SUM(B547:B549)</f>
        <v>33000</v>
      </c>
      <c r="C546" s="88">
        <f>SUM(C547:C549)</f>
        <v>2000</v>
      </c>
      <c r="D546" s="549">
        <f>SUM(D547:D549)</f>
        <v>5000</v>
      </c>
      <c r="E546" s="88">
        <f t="shared" si="136"/>
        <v>40000</v>
      </c>
      <c r="F546" s="549">
        <f>SUM(F547:F549)</f>
        <v>38000</v>
      </c>
      <c r="G546" s="549">
        <f t="shared" si="137"/>
        <v>5000</v>
      </c>
      <c r="H546" s="815">
        <f t="shared" si="138"/>
        <v>0.15151515151515152</v>
      </c>
      <c r="I546" s="549">
        <f t="shared" si="139"/>
        <v>-2000</v>
      </c>
      <c r="J546" s="815">
        <f t="shared" si="140"/>
        <v>-0.05</v>
      </c>
    </row>
    <row r="547" spans="1:10" x14ac:dyDescent="0.2">
      <c r="A547" s="77" t="s">
        <v>189</v>
      </c>
      <c r="B547" s="90">
        <v>6000</v>
      </c>
      <c r="C547" s="90">
        <v>3000</v>
      </c>
      <c r="D547" s="558">
        <v>1000</v>
      </c>
      <c r="E547" s="90">
        <f t="shared" si="136"/>
        <v>10000</v>
      </c>
      <c r="F547" s="558">
        <v>9000</v>
      </c>
      <c r="G547" s="558">
        <f t="shared" si="137"/>
        <v>3000</v>
      </c>
      <c r="H547" s="814">
        <f t="shared" si="138"/>
        <v>0.5</v>
      </c>
      <c r="I547" s="558">
        <f t="shared" si="139"/>
        <v>-1000</v>
      </c>
      <c r="J547" s="814">
        <f t="shared" si="140"/>
        <v>-0.1</v>
      </c>
    </row>
    <row r="548" spans="1:10" x14ac:dyDescent="0.2">
      <c r="A548" s="77" t="s">
        <v>182</v>
      </c>
      <c r="B548" s="90">
        <v>17000</v>
      </c>
      <c r="C548" s="90">
        <v>2000</v>
      </c>
      <c r="D548" s="558">
        <v>1500</v>
      </c>
      <c r="E548" s="90">
        <f t="shared" si="136"/>
        <v>20500</v>
      </c>
      <c r="F548" s="558">
        <v>19000</v>
      </c>
      <c r="G548" s="558">
        <f t="shared" si="137"/>
        <v>2000</v>
      </c>
      <c r="H548" s="814">
        <f t="shared" si="138"/>
        <v>0.11764705882352941</v>
      </c>
      <c r="I548" s="558">
        <f t="shared" si="139"/>
        <v>-1500</v>
      </c>
      <c r="J548" s="814">
        <f t="shared" si="140"/>
        <v>-7.3170731707317069E-2</v>
      </c>
    </row>
    <row r="549" spans="1:10" x14ac:dyDescent="0.2">
      <c r="A549" s="77" t="s">
        <v>192</v>
      </c>
      <c r="B549" s="90">
        <v>10000</v>
      </c>
      <c r="C549" s="90">
        <v>-3000</v>
      </c>
      <c r="D549" s="558">
        <v>2500</v>
      </c>
      <c r="E549" s="90">
        <f t="shared" si="136"/>
        <v>9500</v>
      </c>
      <c r="F549" s="558">
        <v>10000</v>
      </c>
      <c r="G549" s="558">
        <f t="shared" si="137"/>
        <v>0</v>
      </c>
      <c r="H549" s="814">
        <f t="shared" si="138"/>
        <v>0</v>
      </c>
      <c r="I549" s="558">
        <f t="shared" si="139"/>
        <v>500</v>
      </c>
      <c r="J549" s="814">
        <f t="shared" si="140"/>
        <v>5.2631578947368418E-2</v>
      </c>
    </row>
    <row r="550" spans="1:10" x14ac:dyDescent="0.2">
      <c r="A550" s="79"/>
      <c r="B550" s="89"/>
      <c r="C550" s="89"/>
      <c r="D550" s="89"/>
      <c r="E550" s="89">
        <f t="shared" si="136"/>
        <v>0</v>
      </c>
      <c r="F550" s="89"/>
      <c r="G550" s="89">
        <f t="shared" si="137"/>
        <v>0</v>
      </c>
      <c r="H550" s="530"/>
      <c r="I550" s="89">
        <f t="shared" si="139"/>
        <v>0</v>
      </c>
      <c r="J550" s="530"/>
    </row>
    <row r="551" spans="1:10" x14ac:dyDescent="0.2">
      <c r="A551" s="78" t="s">
        <v>1125</v>
      </c>
      <c r="B551" s="87">
        <f>B553+B568+B575+B585+B591+B597+B605</f>
        <v>986945</v>
      </c>
      <c r="C551" s="87">
        <f>C553+C568+C575+C585+C591+C597+C605</f>
        <v>-5185</v>
      </c>
      <c r="D551" s="548">
        <f>D553+D568+D575+D585+D591+D597+D605</f>
        <v>31245</v>
      </c>
      <c r="E551" s="87">
        <f t="shared" si="136"/>
        <v>1013005</v>
      </c>
      <c r="F551" s="548">
        <f>F553+F568+F575+F585+F591+F597+F605</f>
        <v>997575</v>
      </c>
      <c r="G551" s="548">
        <f t="shared" si="137"/>
        <v>10630</v>
      </c>
      <c r="H551" s="818">
        <f t="shared" si="138"/>
        <v>1.0770610317697542E-2</v>
      </c>
      <c r="I551" s="548">
        <f t="shared" si="139"/>
        <v>-15430</v>
      </c>
      <c r="J551" s="818">
        <f t="shared" si="140"/>
        <v>-1.5231909023153883E-2</v>
      </c>
    </row>
    <row r="552" spans="1:10" x14ac:dyDescent="0.2">
      <c r="A552" s="80"/>
      <c r="B552" s="94"/>
      <c r="C552" s="94"/>
      <c r="D552" s="551"/>
      <c r="E552" s="94">
        <f t="shared" si="136"/>
        <v>0</v>
      </c>
      <c r="F552" s="551"/>
      <c r="G552" s="551">
        <f t="shared" si="137"/>
        <v>0</v>
      </c>
      <c r="H552" s="822"/>
      <c r="I552" s="551">
        <f t="shared" si="139"/>
        <v>0</v>
      </c>
      <c r="J552" s="822"/>
    </row>
    <row r="553" spans="1:10" x14ac:dyDescent="0.2">
      <c r="A553" s="76" t="s">
        <v>1126</v>
      </c>
      <c r="B553" s="88">
        <f>B554+B557+B561+B564</f>
        <v>584670</v>
      </c>
      <c r="C553" s="88">
        <f>C554+C557+C561+C564</f>
        <v>56515</v>
      </c>
      <c r="D553" s="549">
        <f>D554+D557+D561+D564</f>
        <v>55545</v>
      </c>
      <c r="E553" s="88">
        <f t="shared" si="136"/>
        <v>696730</v>
      </c>
      <c r="F553" s="549">
        <f>F554+F557+F561+F564</f>
        <v>620210</v>
      </c>
      <c r="G553" s="549">
        <f t="shared" si="137"/>
        <v>35540</v>
      </c>
      <c r="H553" s="815">
        <f t="shared" si="138"/>
        <v>6.078642653120564E-2</v>
      </c>
      <c r="I553" s="549">
        <f t="shared" si="139"/>
        <v>-76520</v>
      </c>
      <c r="J553" s="815">
        <f t="shared" si="140"/>
        <v>-0.10982733627086533</v>
      </c>
    </row>
    <row r="554" spans="1:10" x14ac:dyDescent="0.2">
      <c r="A554" s="76" t="s">
        <v>132</v>
      </c>
      <c r="B554" s="88">
        <f>+B556+B555</f>
        <v>76500</v>
      </c>
      <c r="C554" s="88">
        <f>+C556+C555</f>
        <v>0</v>
      </c>
      <c r="D554" s="549">
        <f>+D556+D555</f>
        <v>0</v>
      </c>
      <c r="E554" s="88">
        <f t="shared" si="136"/>
        <v>76500</v>
      </c>
      <c r="F554" s="549">
        <f>+F556+F555</f>
        <v>78000</v>
      </c>
      <c r="G554" s="549">
        <f t="shared" si="137"/>
        <v>1500</v>
      </c>
      <c r="H554" s="815">
        <f t="shared" si="138"/>
        <v>1.9607843137254902E-2</v>
      </c>
      <c r="I554" s="549">
        <f t="shared" si="139"/>
        <v>1500</v>
      </c>
      <c r="J554" s="815">
        <f t="shared" si="140"/>
        <v>1.9607843137254902E-2</v>
      </c>
    </row>
    <row r="555" spans="1:10" x14ac:dyDescent="0.2">
      <c r="A555" s="77" t="s">
        <v>179</v>
      </c>
      <c r="B555" s="90">
        <v>26000</v>
      </c>
      <c r="C555" s="90"/>
      <c r="D555" s="558"/>
      <c r="E555" s="90">
        <f t="shared" si="136"/>
        <v>26000</v>
      </c>
      <c r="F555" s="558">
        <v>26800</v>
      </c>
      <c r="G555" s="558">
        <f t="shared" si="137"/>
        <v>800</v>
      </c>
      <c r="H555" s="814">
        <f t="shared" si="138"/>
        <v>3.0769230769230771E-2</v>
      </c>
      <c r="I555" s="558">
        <f t="shared" si="139"/>
        <v>800</v>
      </c>
      <c r="J555" s="814">
        <f t="shared" si="140"/>
        <v>3.0769230769230771E-2</v>
      </c>
    </row>
    <row r="556" spans="1:10" x14ac:dyDescent="0.2">
      <c r="A556" s="77" t="s">
        <v>163</v>
      </c>
      <c r="B556" s="90">
        <v>50500</v>
      </c>
      <c r="C556" s="90"/>
      <c r="D556" s="558"/>
      <c r="E556" s="90">
        <f t="shared" si="136"/>
        <v>50500</v>
      </c>
      <c r="F556" s="558">
        <v>51200</v>
      </c>
      <c r="G556" s="558">
        <f t="shared" si="137"/>
        <v>700</v>
      </c>
      <c r="H556" s="814">
        <f t="shared" si="138"/>
        <v>1.3861386138613862E-2</v>
      </c>
      <c r="I556" s="558">
        <f t="shared" si="139"/>
        <v>700</v>
      </c>
      <c r="J556" s="814">
        <f t="shared" si="140"/>
        <v>1.3861386138613862E-2</v>
      </c>
    </row>
    <row r="557" spans="1:10" x14ac:dyDescent="0.2">
      <c r="A557" s="76" t="s">
        <v>124</v>
      </c>
      <c r="B557" s="88">
        <f>SUM(B558:B559)</f>
        <v>138870</v>
      </c>
      <c r="C557" s="88">
        <f>SUM(C558:C560)</f>
        <v>-7035</v>
      </c>
      <c r="D557" s="549">
        <f>SUM(D558:D560)</f>
        <v>27100</v>
      </c>
      <c r="E557" s="88">
        <f t="shared" si="136"/>
        <v>158935</v>
      </c>
      <c r="F557" s="549">
        <f>SUM(F558:F560)</f>
        <v>175000</v>
      </c>
      <c r="G557" s="549">
        <f t="shared" si="137"/>
        <v>36130</v>
      </c>
      <c r="H557" s="815">
        <f t="shared" si="138"/>
        <v>0.26017138330812989</v>
      </c>
      <c r="I557" s="549">
        <f t="shared" si="139"/>
        <v>16065</v>
      </c>
      <c r="J557" s="815">
        <f t="shared" si="140"/>
        <v>0.1010790574763268</v>
      </c>
    </row>
    <row r="558" spans="1:10" x14ac:dyDescent="0.2">
      <c r="A558" s="77" t="s">
        <v>162</v>
      </c>
      <c r="B558" s="90">
        <v>101870</v>
      </c>
      <c r="C558" s="90">
        <v>-10440</v>
      </c>
      <c r="D558" s="558">
        <v>2590</v>
      </c>
      <c r="E558" s="90">
        <f t="shared" si="136"/>
        <v>94020</v>
      </c>
      <c r="F558" s="558">
        <v>107275</v>
      </c>
      <c r="G558" s="558">
        <f t="shared" si="137"/>
        <v>5405</v>
      </c>
      <c r="H558" s="814">
        <f t="shared" si="138"/>
        <v>5.3057818788652206E-2</v>
      </c>
      <c r="I558" s="558">
        <f t="shared" si="139"/>
        <v>13255</v>
      </c>
      <c r="J558" s="814">
        <f t="shared" si="140"/>
        <v>0.14098064241650712</v>
      </c>
    </row>
    <row r="559" spans="1:10" x14ac:dyDescent="0.2">
      <c r="A559" s="77" t="s">
        <v>163</v>
      </c>
      <c r="B559" s="90">
        <v>37000</v>
      </c>
      <c r="C559" s="90">
        <v>2390</v>
      </c>
      <c r="D559" s="558">
        <v>10900</v>
      </c>
      <c r="E559" s="90">
        <f t="shared" si="136"/>
        <v>50290</v>
      </c>
      <c r="F559" s="558">
        <v>42390</v>
      </c>
      <c r="G559" s="558">
        <f t="shared" si="137"/>
        <v>5390</v>
      </c>
      <c r="H559" s="814">
        <f t="shared" si="138"/>
        <v>0.14567567567567569</v>
      </c>
      <c r="I559" s="558">
        <f t="shared" si="139"/>
        <v>-7900</v>
      </c>
      <c r="J559" s="814">
        <f t="shared" si="140"/>
        <v>-0.15708888447007358</v>
      </c>
    </row>
    <row r="560" spans="1:10" x14ac:dyDescent="0.2">
      <c r="A560" s="77" t="s">
        <v>311</v>
      </c>
      <c r="B560" s="90"/>
      <c r="C560" s="90">
        <v>1015</v>
      </c>
      <c r="D560" s="558">
        <v>13610</v>
      </c>
      <c r="E560" s="90">
        <f t="shared" si="136"/>
        <v>14625</v>
      </c>
      <c r="F560" s="558">
        <v>25335</v>
      </c>
      <c r="G560" s="558">
        <f t="shared" si="137"/>
        <v>25335</v>
      </c>
      <c r="H560" s="814"/>
      <c r="I560" s="558">
        <f t="shared" si="139"/>
        <v>10710</v>
      </c>
      <c r="J560" s="814">
        <f t="shared" si="140"/>
        <v>0.73230769230769233</v>
      </c>
    </row>
    <row r="561" spans="1:10" x14ac:dyDescent="0.2">
      <c r="A561" s="76" t="s">
        <v>131</v>
      </c>
      <c r="B561" s="88">
        <f>B562+B563</f>
        <v>189300</v>
      </c>
      <c r="C561" s="88">
        <f>C562+C563</f>
        <v>41300</v>
      </c>
      <c r="D561" s="549">
        <f>D562+D563</f>
        <v>13945</v>
      </c>
      <c r="E561" s="88">
        <f t="shared" si="136"/>
        <v>244545</v>
      </c>
      <c r="F561" s="549">
        <f>F562+F563</f>
        <v>187060</v>
      </c>
      <c r="G561" s="549">
        <f t="shared" si="137"/>
        <v>-2240</v>
      </c>
      <c r="H561" s="815">
        <f t="shared" si="138"/>
        <v>-1.1833069202324353E-2</v>
      </c>
      <c r="I561" s="549">
        <f t="shared" si="139"/>
        <v>-57485</v>
      </c>
      <c r="J561" s="815">
        <f t="shared" si="140"/>
        <v>-0.23506921016581817</v>
      </c>
    </row>
    <row r="562" spans="1:10" x14ac:dyDescent="0.2">
      <c r="A562" s="79" t="s">
        <v>188</v>
      </c>
      <c r="B562" s="89">
        <v>81000</v>
      </c>
      <c r="C562" s="89">
        <v>24770</v>
      </c>
      <c r="D562" s="553">
        <v>-8100</v>
      </c>
      <c r="E562" s="89">
        <f t="shared" si="136"/>
        <v>97670</v>
      </c>
      <c r="F562" s="553">
        <v>78580</v>
      </c>
      <c r="G562" s="553">
        <f t="shared" si="137"/>
        <v>-2420</v>
      </c>
      <c r="H562" s="819">
        <f t="shared" si="138"/>
        <v>-2.9876543209876542E-2</v>
      </c>
      <c r="I562" s="553">
        <f t="shared" si="139"/>
        <v>-19090</v>
      </c>
      <c r="J562" s="819">
        <f t="shared" si="140"/>
        <v>-0.19545408006552678</v>
      </c>
    </row>
    <row r="563" spans="1:10" x14ac:dyDescent="0.2">
      <c r="A563" s="79" t="s">
        <v>176</v>
      </c>
      <c r="B563" s="89">
        <v>108300</v>
      </c>
      <c r="C563" s="89">
        <v>16530</v>
      </c>
      <c r="D563" s="553">
        <v>22045</v>
      </c>
      <c r="E563" s="89">
        <f t="shared" si="136"/>
        <v>146875</v>
      </c>
      <c r="F563" s="553">
        <v>108480</v>
      </c>
      <c r="G563" s="553">
        <f t="shared" si="137"/>
        <v>180</v>
      </c>
      <c r="H563" s="819">
        <f t="shared" si="138"/>
        <v>1.6620498614958448E-3</v>
      </c>
      <c r="I563" s="553">
        <f t="shared" si="139"/>
        <v>-38395</v>
      </c>
      <c r="J563" s="819">
        <f t="shared" si="140"/>
        <v>-0.26141276595744684</v>
      </c>
    </row>
    <row r="564" spans="1:10" x14ac:dyDescent="0.2">
      <c r="A564" s="76" t="s">
        <v>125</v>
      </c>
      <c r="B564" s="88">
        <f>B565</f>
        <v>180000</v>
      </c>
      <c r="C564" s="88">
        <f>C565+C566</f>
        <v>22250</v>
      </c>
      <c r="D564" s="549">
        <f>D565+D566</f>
        <v>14500</v>
      </c>
      <c r="E564" s="88">
        <f t="shared" si="136"/>
        <v>216750</v>
      </c>
      <c r="F564" s="549">
        <f>F565+F566</f>
        <v>180150</v>
      </c>
      <c r="G564" s="549">
        <f t="shared" si="137"/>
        <v>150</v>
      </c>
      <c r="H564" s="815">
        <f t="shared" si="138"/>
        <v>8.3333333333333339E-4</v>
      </c>
      <c r="I564" s="549">
        <f t="shared" si="139"/>
        <v>-36600</v>
      </c>
      <c r="J564" s="815">
        <f t="shared" si="140"/>
        <v>-0.16885813148788928</v>
      </c>
    </row>
    <row r="565" spans="1:10" x14ac:dyDescent="0.2">
      <c r="A565" s="77" t="s">
        <v>186</v>
      </c>
      <c r="B565" s="90">
        <v>180000</v>
      </c>
      <c r="C565" s="90">
        <v>22100</v>
      </c>
      <c r="D565" s="558">
        <v>14500</v>
      </c>
      <c r="E565" s="90">
        <f t="shared" si="136"/>
        <v>216600</v>
      </c>
      <c r="F565" s="558">
        <v>180000</v>
      </c>
      <c r="G565" s="558">
        <f t="shared" si="137"/>
        <v>0</v>
      </c>
      <c r="H565" s="814">
        <f t="shared" si="138"/>
        <v>0</v>
      </c>
      <c r="I565" s="558">
        <f t="shared" si="139"/>
        <v>-36600</v>
      </c>
      <c r="J565" s="814">
        <f t="shared" si="140"/>
        <v>-0.16897506925207756</v>
      </c>
    </row>
    <row r="566" spans="1:10" ht="25.5" x14ac:dyDescent="0.2">
      <c r="A566" s="79" t="s">
        <v>941</v>
      </c>
      <c r="B566" s="90"/>
      <c r="C566" s="90">
        <v>150</v>
      </c>
      <c r="D566" s="558"/>
      <c r="E566" s="90">
        <f t="shared" ref="E566:E629" si="141">B566+C566+D566</f>
        <v>150</v>
      </c>
      <c r="F566" s="558">
        <v>150</v>
      </c>
      <c r="G566" s="558">
        <f t="shared" si="137"/>
        <v>150</v>
      </c>
      <c r="H566" s="814"/>
      <c r="I566" s="558">
        <f t="shared" si="139"/>
        <v>0</v>
      </c>
      <c r="J566" s="814">
        <f t="shared" si="140"/>
        <v>0</v>
      </c>
    </row>
    <row r="567" spans="1:10" x14ac:dyDescent="0.2">
      <c r="A567" s="79"/>
      <c r="B567" s="89"/>
      <c r="C567" s="89"/>
      <c r="D567" s="553"/>
      <c r="E567" s="89">
        <f t="shared" si="141"/>
        <v>0</v>
      </c>
      <c r="F567" s="553"/>
      <c r="G567" s="553">
        <f t="shared" si="137"/>
        <v>0</v>
      </c>
      <c r="H567" s="819"/>
      <c r="I567" s="553">
        <f t="shared" si="139"/>
        <v>0</v>
      </c>
      <c r="J567" s="819"/>
    </row>
    <row r="568" spans="1:10" x14ac:dyDescent="0.2">
      <c r="A568" s="81" t="s">
        <v>1127</v>
      </c>
      <c r="B568" s="91">
        <f>B569+B571</f>
        <v>163500</v>
      </c>
      <c r="C568" s="91">
        <f>C569+C571</f>
        <v>0</v>
      </c>
      <c r="D568" s="560">
        <f>D569+D571</f>
        <v>5540</v>
      </c>
      <c r="E568" s="91">
        <f t="shared" si="141"/>
        <v>169040</v>
      </c>
      <c r="F568" s="560">
        <f>F569+F571</f>
        <v>166500</v>
      </c>
      <c r="G568" s="560">
        <f t="shared" si="137"/>
        <v>3000</v>
      </c>
      <c r="H568" s="820">
        <f t="shared" si="138"/>
        <v>1.834862385321101E-2</v>
      </c>
      <c r="I568" s="560">
        <f t="shared" si="139"/>
        <v>-2540</v>
      </c>
      <c r="J568" s="820">
        <f t="shared" si="140"/>
        <v>-1.5026029342167534E-2</v>
      </c>
    </row>
    <row r="569" spans="1:10" x14ac:dyDescent="0.2">
      <c r="A569" s="76" t="s">
        <v>129</v>
      </c>
      <c r="B569" s="88">
        <f>B570</f>
        <v>100700</v>
      </c>
      <c r="C569" s="88">
        <f>C570</f>
        <v>0</v>
      </c>
      <c r="D569" s="549">
        <f>D570</f>
        <v>7000</v>
      </c>
      <c r="E569" s="88">
        <f t="shared" si="141"/>
        <v>107700</v>
      </c>
      <c r="F569" s="549">
        <f>F570</f>
        <v>98240</v>
      </c>
      <c r="G569" s="549">
        <f t="shared" si="137"/>
        <v>-2460</v>
      </c>
      <c r="H569" s="815">
        <f t="shared" si="138"/>
        <v>-2.4428997020854021E-2</v>
      </c>
      <c r="I569" s="549">
        <f t="shared" si="139"/>
        <v>-9460</v>
      </c>
      <c r="J569" s="815">
        <f t="shared" si="140"/>
        <v>-8.7836583101207052E-2</v>
      </c>
    </row>
    <row r="570" spans="1:10" x14ac:dyDescent="0.2">
      <c r="A570" s="77" t="s">
        <v>178</v>
      </c>
      <c r="B570" s="90">
        <v>100700</v>
      </c>
      <c r="C570" s="90"/>
      <c r="D570" s="558">
        <v>7000</v>
      </c>
      <c r="E570" s="90">
        <f t="shared" si="141"/>
        <v>107700</v>
      </c>
      <c r="F570" s="558">
        <v>98240</v>
      </c>
      <c r="G570" s="558">
        <f t="shared" si="137"/>
        <v>-2460</v>
      </c>
      <c r="H570" s="814">
        <f t="shared" si="138"/>
        <v>-2.4428997020854021E-2</v>
      </c>
      <c r="I570" s="558">
        <f t="shared" si="139"/>
        <v>-9460</v>
      </c>
      <c r="J570" s="814">
        <f t="shared" si="140"/>
        <v>-8.7836583101207052E-2</v>
      </c>
    </row>
    <row r="571" spans="1:10" x14ac:dyDescent="0.2">
      <c r="A571" s="76" t="s">
        <v>124</v>
      </c>
      <c r="B571" s="88">
        <f>B572+B573</f>
        <v>62800</v>
      </c>
      <c r="C571" s="88">
        <f>C572+C573</f>
        <v>0</v>
      </c>
      <c r="D571" s="549">
        <f>D572+D573</f>
        <v>-1460</v>
      </c>
      <c r="E571" s="88">
        <f t="shared" si="141"/>
        <v>61340</v>
      </c>
      <c r="F571" s="549">
        <f>F572+F573</f>
        <v>68260</v>
      </c>
      <c r="G571" s="549">
        <f t="shared" si="137"/>
        <v>5460</v>
      </c>
      <c r="H571" s="815">
        <f t="shared" si="138"/>
        <v>8.6942675159235663E-2</v>
      </c>
      <c r="I571" s="549">
        <f t="shared" si="139"/>
        <v>6920</v>
      </c>
      <c r="J571" s="815">
        <f t="shared" si="140"/>
        <v>0.11281382458428432</v>
      </c>
    </row>
    <row r="572" spans="1:10" x14ac:dyDescent="0.2">
      <c r="A572" s="77" t="s">
        <v>162</v>
      </c>
      <c r="B572" s="90">
        <v>48800</v>
      </c>
      <c r="C572" s="90"/>
      <c r="D572" s="558"/>
      <c r="E572" s="90">
        <f t="shared" si="141"/>
        <v>48800</v>
      </c>
      <c r="F572" s="558">
        <v>54160</v>
      </c>
      <c r="G572" s="558">
        <f t="shared" si="137"/>
        <v>5360</v>
      </c>
      <c r="H572" s="814">
        <f t="shared" si="138"/>
        <v>0.10983606557377049</v>
      </c>
      <c r="I572" s="558">
        <f t="shared" si="139"/>
        <v>5360</v>
      </c>
      <c r="J572" s="814">
        <f t="shared" si="140"/>
        <v>0.10983606557377049</v>
      </c>
    </row>
    <row r="573" spans="1:10" x14ac:dyDescent="0.2">
      <c r="A573" s="77" t="s">
        <v>163</v>
      </c>
      <c r="B573" s="90">
        <v>14000</v>
      </c>
      <c r="C573" s="90"/>
      <c r="D573" s="558">
        <v>-1460</v>
      </c>
      <c r="E573" s="90">
        <f t="shared" si="141"/>
        <v>12540</v>
      </c>
      <c r="F573" s="558">
        <v>14100</v>
      </c>
      <c r="G573" s="558">
        <f t="shared" si="137"/>
        <v>100</v>
      </c>
      <c r="H573" s="814">
        <f t="shared" si="138"/>
        <v>7.1428571428571426E-3</v>
      </c>
      <c r="I573" s="558">
        <f t="shared" si="139"/>
        <v>1560</v>
      </c>
      <c r="J573" s="814">
        <f t="shared" si="140"/>
        <v>0.12440191387559808</v>
      </c>
    </row>
    <row r="574" spans="1:10" x14ac:dyDescent="0.2">
      <c r="A574" s="77"/>
      <c r="B574" s="90"/>
      <c r="C574" s="90"/>
      <c r="D574" s="558"/>
      <c r="E574" s="90">
        <f t="shared" si="141"/>
        <v>0</v>
      </c>
      <c r="F574" s="558"/>
      <c r="G574" s="558">
        <f t="shared" si="137"/>
        <v>0</v>
      </c>
      <c r="H574" s="814"/>
      <c r="I574" s="558">
        <f t="shared" si="139"/>
        <v>0</v>
      </c>
      <c r="J574" s="814"/>
    </row>
    <row r="575" spans="1:10" x14ac:dyDescent="0.2">
      <c r="A575" s="76" t="s">
        <v>1128</v>
      </c>
      <c r="B575" s="88">
        <f>B576+B581</f>
        <v>130500</v>
      </c>
      <c r="C575" s="88">
        <f>C576+C581</f>
        <v>-34500</v>
      </c>
      <c r="D575" s="549">
        <f>D576+D581</f>
        <v>-19000</v>
      </c>
      <c r="E575" s="88">
        <f t="shared" si="141"/>
        <v>77000</v>
      </c>
      <c r="F575" s="549">
        <f>F576+F581</f>
        <v>130000</v>
      </c>
      <c r="G575" s="549">
        <f t="shared" si="137"/>
        <v>-500</v>
      </c>
      <c r="H575" s="815">
        <f t="shared" si="138"/>
        <v>-3.8314176245210726E-3</v>
      </c>
      <c r="I575" s="549">
        <f t="shared" si="139"/>
        <v>53000</v>
      </c>
      <c r="J575" s="815">
        <f t="shared" si="140"/>
        <v>0.68831168831168832</v>
      </c>
    </row>
    <row r="576" spans="1:10" x14ac:dyDescent="0.2">
      <c r="A576" s="76" t="s">
        <v>128</v>
      </c>
      <c r="B576" s="88">
        <f>B577+B579+B580+B578</f>
        <v>72800</v>
      </c>
      <c r="C576" s="88">
        <f>C577+C579+C580+C578</f>
        <v>-27500</v>
      </c>
      <c r="D576" s="549">
        <f>D577+D579+D580+D578</f>
        <v>-10000</v>
      </c>
      <c r="E576" s="88">
        <f t="shared" si="141"/>
        <v>35300</v>
      </c>
      <c r="F576" s="549">
        <f>F577+F579+F580+F578</f>
        <v>70000</v>
      </c>
      <c r="G576" s="549">
        <f t="shared" si="137"/>
        <v>-2800</v>
      </c>
      <c r="H576" s="815">
        <f t="shared" si="138"/>
        <v>-3.8461538461538464E-2</v>
      </c>
      <c r="I576" s="549">
        <f t="shared" si="139"/>
        <v>34700</v>
      </c>
      <c r="J576" s="815">
        <f t="shared" si="140"/>
        <v>0.98300283286118983</v>
      </c>
    </row>
    <row r="577" spans="1:10" x14ac:dyDescent="0.2">
      <c r="A577" s="77" t="s">
        <v>170</v>
      </c>
      <c r="B577" s="90">
        <v>6000</v>
      </c>
      <c r="C577" s="90">
        <v>-3000</v>
      </c>
      <c r="D577" s="558"/>
      <c r="E577" s="90">
        <f t="shared" si="141"/>
        <v>3000</v>
      </c>
      <c r="F577" s="558">
        <v>5000</v>
      </c>
      <c r="G577" s="558">
        <f t="shared" si="137"/>
        <v>-1000</v>
      </c>
      <c r="H577" s="814">
        <f t="shared" si="138"/>
        <v>-0.16666666666666666</v>
      </c>
      <c r="I577" s="558">
        <f t="shared" si="139"/>
        <v>2000</v>
      </c>
      <c r="J577" s="814">
        <f t="shared" si="140"/>
        <v>0.66666666666666663</v>
      </c>
    </row>
    <row r="578" spans="1:10" x14ac:dyDescent="0.2">
      <c r="A578" s="77" t="s">
        <v>541</v>
      </c>
      <c r="B578" s="90">
        <v>300</v>
      </c>
      <c r="C578" s="90"/>
      <c r="D578" s="558"/>
      <c r="E578" s="90">
        <f t="shared" si="141"/>
        <v>300</v>
      </c>
      <c r="F578" s="558"/>
      <c r="G578" s="558">
        <f t="shared" si="137"/>
        <v>-300</v>
      </c>
      <c r="H578" s="814">
        <f t="shared" si="138"/>
        <v>-1</v>
      </c>
      <c r="I578" s="558">
        <f t="shared" si="139"/>
        <v>-300</v>
      </c>
      <c r="J578" s="814">
        <f t="shared" si="140"/>
        <v>-1</v>
      </c>
    </row>
    <row r="579" spans="1:10" ht="25.5" x14ac:dyDescent="0.2">
      <c r="A579" s="79" t="s">
        <v>175</v>
      </c>
      <c r="B579" s="89">
        <v>56000</v>
      </c>
      <c r="C579" s="89">
        <f>-2000-18000</f>
        <v>-20000</v>
      </c>
      <c r="D579" s="553">
        <v>-7000</v>
      </c>
      <c r="E579" s="90">
        <f t="shared" si="141"/>
        <v>29000</v>
      </c>
      <c r="F579" s="553">
        <v>55000</v>
      </c>
      <c r="G579" s="553">
        <f t="shared" si="137"/>
        <v>-1000</v>
      </c>
      <c r="H579" s="819">
        <f t="shared" si="138"/>
        <v>-1.7857142857142856E-2</v>
      </c>
      <c r="I579" s="553">
        <f t="shared" si="139"/>
        <v>26000</v>
      </c>
      <c r="J579" s="819">
        <f t="shared" si="140"/>
        <v>0.89655172413793105</v>
      </c>
    </row>
    <row r="580" spans="1:10" ht="25.5" x14ac:dyDescent="0.2">
      <c r="A580" s="79" t="s">
        <v>169</v>
      </c>
      <c r="B580" s="89">
        <v>10500</v>
      </c>
      <c r="C580" s="89">
        <v>-4500</v>
      </c>
      <c r="D580" s="553">
        <v>-3000</v>
      </c>
      <c r="E580" s="90">
        <f t="shared" si="141"/>
        <v>3000</v>
      </c>
      <c r="F580" s="553">
        <v>10000</v>
      </c>
      <c r="G580" s="553">
        <f t="shared" si="137"/>
        <v>-500</v>
      </c>
      <c r="H580" s="819">
        <f t="shared" si="138"/>
        <v>-4.7619047619047616E-2</v>
      </c>
      <c r="I580" s="553">
        <f t="shared" si="139"/>
        <v>7000</v>
      </c>
      <c r="J580" s="819">
        <f t="shared" si="140"/>
        <v>2.3333333333333335</v>
      </c>
    </row>
    <row r="581" spans="1:10" x14ac:dyDescent="0.2">
      <c r="A581" s="76" t="s">
        <v>124</v>
      </c>
      <c r="B581" s="88">
        <f>B582+B583</f>
        <v>57700</v>
      </c>
      <c r="C581" s="88">
        <f>C582+C583</f>
        <v>-7000</v>
      </c>
      <c r="D581" s="549">
        <f>D582+D583</f>
        <v>-9000</v>
      </c>
      <c r="E581" s="88">
        <f t="shared" si="141"/>
        <v>41700</v>
      </c>
      <c r="F581" s="549">
        <f>F582+F583</f>
        <v>60000</v>
      </c>
      <c r="G581" s="549">
        <f t="shared" si="137"/>
        <v>2300</v>
      </c>
      <c r="H581" s="815">
        <f t="shared" si="138"/>
        <v>3.9861351819757362E-2</v>
      </c>
      <c r="I581" s="549">
        <f t="shared" si="139"/>
        <v>18300</v>
      </c>
      <c r="J581" s="815">
        <f t="shared" si="140"/>
        <v>0.43884892086330934</v>
      </c>
    </row>
    <row r="582" spans="1:10" x14ac:dyDescent="0.2">
      <c r="A582" s="77" t="s">
        <v>162</v>
      </c>
      <c r="B582" s="90">
        <v>45500</v>
      </c>
      <c r="C582" s="90">
        <v>-7000</v>
      </c>
      <c r="D582" s="558">
        <v>-7000</v>
      </c>
      <c r="E582" s="90">
        <f t="shared" si="141"/>
        <v>31500</v>
      </c>
      <c r="F582" s="558">
        <v>48000</v>
      </c>
      <c r="G582" s="558">
        <f t="shared" ref="G582:G645" si="142">F582-B582</f>
        <v>2500</v>
      </c>
      <c r="H582" s="814">
        <f t="shared" ref="H582:H642" si="143">G582/B582</f>
        <v>5.4945054945054944E-2</v>
      </c>
      <c r="I582" s="558">
        <f t="shared" ref="I582:I645" si="144">F582-E582</f>
        <v>16500</v>
      </c>
      <c r="J582" s="814">
        <f t="shared" ref="J582:J644" si="145">I582/E582</f>
        <v>0.52380952380952384</v>
      </c>
    </row>
    <row r="583" spans="1:10" x14ac:dyDescent="0.2">
      <c r="A583" s="77" t="s">
        <v>163</v>
      </c>
      <c r="B583" s="90">
        <v>12200</v>
      </c>
      <c r="C583" s="90"/>
      <c r="D583" s="558">
        <v>-2000</v>
      </c>
      <c r="E583" s="90">
        <f t="shared" si="141"/>
        <v>10200</v>
      </c>
      <c r="F583" s="558">
        <v>12000</v>
      </c>
      <c r="G583" s="558">
        <f t="shared" si="142"/>
        <v>-200</v>
      </c>
      <c r="H583" s="814">
        <f t="shared" si="143"/>
        <v>-1.6393442622950821E-2</v>
      </c>
      <c r="I583" s="558">
        <f t="shared" si="144"/>
        <v>1800</v>
      </c>
      <c r="J583" s="814">
        <f t="shared" si="145"/>
        <v>0.17647058823529413</v>
      </c>
    </row>
    <row r="584" spans="1:10" x14ac:dyDescent="0.2">
      <c r="A584" s="77"/>
      <c r="B584" s="90"/>
      <c r="C584" s="90"/>
      <c r="D584" s="558"/>
      <c r="E584" s="90">
        <f t="shared" si="141"/>
        <v>0</v>
      </c>
      <c r="F584" s="558"/>
      <c r="G584" s="558">
        <f t="shared" si="142"/>
        <v>0</v>
      </c>
      <c r="H584" s="814"/>
      <c r="I584" s="558">
        <f t="shared" si="144"/>
        <v>0</v>
      </c>
      <c r="J584" s="814"/>
    </row>
    <row r="585" spans="1:10" x14ac:dyDescent="0.2">
      <c r="A585" s="76" t="s">
        <v>1129</v>
      </c>
      <c r="B585" s="88">
        <f>B586</f>
        <v>27000</v>
      </c>
      <c r="C585" s="88">
        <f>C586</f>
        <v>-2900</v>
      </c>
      <c r="D585" s="549">
        <f>D586</f>
        <v>0</v>
      </c>
      <c r="E585" s="88">
        <f t="shared" si="141"/>
        <v>24100</v>
      </c>
      <c r="F585" s="549">
        <f>F586</f>
        <v>25700</v>
      </c>
      <c r="G585" s="549">
        <f t="shared" si="142"/>
        <v>-1300</v>
      </c>
      <c r="H585" s="815">
        <f t="shared" si="143"/>
        <v>-4.8148148148148148E-2</v>
      </c>
      <c r="I585" s="549">
        <f t="shared" si="144"/>
        <v>1600</v>
      </c>
      <c r="J585" s="815">
        <f t="shared" si="145"/>
        <v>6.6390041493775934E-2</v>
      </c>
    </row>
    <row r="586" spans="1:10" x14ac:dyDescent="0.2">
      <c r="A586" s="76" t="s">
        <v>134</v>
      </c>
      <c r="B586" s="88">
        <f>B589+B588+B587</f>
        <v>27000</v>
      </c>
      <c r="C586" s="88">
        <f>C589+C588+C587</f>
        <v>-2900</v>
      </c>
      <c r="D586" s="549">
        <f>D589+D588+D587</f>
        <v>0</v>
      </c>
      <c r="E586" s="88">
        <f t="shared" si="141"/>
        <v>24100</v>
      </c>
      <c r="F586" s="549">
        <f>F589+F588+F587</f>
        <v>25700</v>
      </c>
      <c r="G586" s="549">
        <f t="shared" si="142"/>
        <v>-1300</v>
      </c>
      <c r="H586" s="815">
        <f t="shared" si="143"/>
        <v>-4.8148148148148148E-2</v>
      </c>
      <c r="I586" s="549">
        <f t="shared" si="144"/>
        <v>1600</v>
      </c>
      <c r="J586" s="815">
        <f t="shared" si="145"/>
        <v>6.6390041493775934E-2</v>
      </c>
    </row>
    <row r="587" spans="1:10" x14ac:dyDescent="0.2">
      <c r="A587" s="77" t="s">
        <v>189</v>
      </c>
      <c r="B587" s="90">
        <v>18500</v>
      </c>
      <c r="C587" s="90"/>
      <c r="D587" s="558"/>
      <c r="E587" s="90">
        <f t="shared" si="141"/>
        <v>18500</v>
      </c>
      <c r="F587" s="558">
        <v>18000</v>
      </c>
      <c r="G587" s="558">
        <f t="shared" si="142"/>
        <v>-500</v>
      </c>
      <c r="H587" s="814">
        <f t="shared" si="143"/>
        <v>-2.7027027027027029E-2</v>
      </c>
      <c r="I587" s="558">
        <f t="shared" si="144"/>
        <v>-500</v>
      </c>
      <c r="J587" s="814">
        <f t="shared" si="145"/>
        <v>-2.7027027027027029E-2</v>
      </c>
    </row>
    <row r="588" spans="1:10" x14ac:dyDescent="0.2">
      <c r="A588" s="79" t="s">
        <v>168</v>
      </c>
      <c r="B588" s="89">
        <v>7000</v>
      </c>
      <c r="C588" s="89">
        <v>-3600</v>
      </c>
      <c r="D588" s="553"/>
      <c r="E588" s="89">
        <f t="shared" si="141"/>
        <v>3400</v>
      </c>
      <c r="F588" s="553">
        <v>7000</v>
      </c>
      <c r="G588" s="553">
        <f t="shared" si="142"/>
        <v>0</v>
      </c>
      <c r="H588" s="819">
        <f t="shared" si="143"/>
        <v>0</v>
      </c>
      <c r="I588" s="553">
        <f t="shared" si="144"/>
        <v>3600</v>
      </c>
      <c r="J588" s="819">
        <f t="shared" si="145"/>
        <v>1.0588235294117647</v>
      </c>
    </row>
    <row r="589" spans="1:10" x14ac:dyDescent="0.2">
      <c r="A589" s="79" t="s">
        <v>192</v>
      </c>
      <c r="B589" s="89">
        <v>1500</v>
      </c>
      <c r="C589" s="89">
        <v>700</v>
      </c>
      <c r="D589" s="553"/>
      <c r="E589" s="89">
        <f t="shared" si="141"/>
        <v>2200</v>
      </c>
      <c r="F589" s="553">
        <v>700</v>
      </c>
      <c r="G589" s="553">
        <f t="shared" si="142"/>
        <v>-800</v>
      </c>
      <c r="H589" s="819">
        <f t="shared" si="143"/>
        <v>-0.53333333333333333</v>
      </c>
      <c r="I589" s="553">
        <f t="shared" si="144"/>
        <v>-1500</v>
      </c>
      <c r="J589" s="819">
        <f t="shared" si="145"/>
        <v>-0.68181818181818177</v>
      </c>
    </row>
    <row r="590" spans="1:10" x14ac:dyDescent="0.2">
      <c r="A590" s="77"/>
      <c r="B590" s="90"/>
      <c r="C590" s="90"/>
      <c r="D590" s="558"/>
      <c r="E590" s="90">
        <f t="shared" si="141"/>
        <v>0</v>
      </c>
      <c r="F590" s="558"/>
      <c r="G590" s="558">
        <f t="shared" si="142"/>
        <v>0</v>
      </c>
      <c r="H590" s="814"/>
      <c r="I590" s="558">
        <f t="shared" si="144"/>
        <v>0</v>
      </c>
      <c r="J590" s="814"/>
    </row>
    <row r="591" spans="1:10" x14ac:dyDescent="0.2">
      <c r="A591" s="76" t="s">
        <v>1130</v>
      </c>
      <c r="B591" s="88">
        <f>B592</f>
        <v>5020</v>
      </c>
      <c r="C591" s="88">
        <f>C592</f>
        <v>0</v>
      </c>
      <c r="D591" s="549">
        <f>D592</f>
        <v>-1600</v>
      </c>
      <c r="E591" s="88">
        <f t="shared" si="141"/>
        <v>3420</v>
      </c>
      <c r="F591" s="549">
        <f>F592</f>
        <v>4000</v>
      </c>
      <c r="G591" s="549">
        <f t="shared" si="142"/>
        <v>-1020</v>
      </c>
      <c r="H591" s="815">
        <f t="shared" si="143"/>
        <v>-0.20318725099601595</v>
      </c>
      <c r="I591" s="549">
        <f t="shared" si="144"/>
        <v>580</v>
      </c>
      <c r="J591" s="815">
        <f t="shared" si="145"/>
        <v>0.16959064327485379</v>
      </c>
    </row>
    <row r="592" spans="1:10" x14ac:dyDescent="0.2">
      <c r="A592" s="76" t="s">
        <v>129</v>
      </c>
      <c r="B592" s="88">
        <f>B593+B594+B595</f>
        <v>5020</v>
      </c>
      <c r="C592" s="88">
        <f>C593+C594+C595</f>
        <v>0</v>
      </c>
      <c r="D592" s="549">
        <f>D593+D594+D595</f>
        <v>-1600</v>
      </c>
      <c r="E592" s="88">
        <f t="shared" si="141"/>
        <v>3420</v>
      </c>
      <c r="F592" s="549">
        <f>F593+F594+F595</f>
        <v>4000</v>
      </c>
      <c r="G592" s="549">
        <f t="shared" si="142"/>
        <v>-1020</v>
      </c>
      <c r="H592" s="815">
        <f t="shared" si="143"/>
        <v>-0.20318725099601595</v>
      </c>
      <c r="I592" s="549">
        <f t="shared" si="144"/>
        <v>580</v>
      </c>
      <c r="J592" s="815">
        <f t="shared" si="145"/>
        <v>0.16959064327485379</v>
      </c>
    </row>
    <row r="593" spans="1:10" x14ac:dyDescent="0.2">
      <c r="A593" s="79" t="s">
        <v>168</v>
      </c>
      <c r="B593" s="89">
        <v>3500</v>
      </c>
      <c r="C593" s="89"/>
      <c r="D593" s="553">
        <v>-2500</v>
      </c>
      <c r="E593" s="89">
        <f t="shared" si="141"/>
        <v>1000</v>
      </c>
      <c r="F593" s="553">
        <v>1500</v>
      </c>
      <c r="G593" s="553">
        <f t="shared" si="142"/>
        <v>-2000</v>
      </c>
      <c r="H593" s="819">
        <f t="shared" si="143"/>
        <v>-0.5714285714285714</v>
      </c>
      <c r="I593" s="553">
        <f t="shared" si="144"/>
        <v>500</v>
      </c>
      <c r="J593" s="819">
        <f t="shared" si="145"/>
        <v>0.5</v>
      </c>
    </row>
    <row r="594" spans="1:10" ht="25.5" x14ac:dyDescent="0.2">
      <c r="A594" s="79" t="s">
        <v>313</v>
      </c>
      <c r="B594" s="89">
        <v>520</v>
      </c>
      <c r="C594" s="89"/>
      <c r="D594" s="553">
        <v>1900</v>
      </c>
      <c r="E594" s="89">
        <f t="shared" si="141"/>
        <v>2420</v>
      </c>
      <c r="F594" s="553">
        <v>1500</v>
      </c>
      <c r="G594" s="553">
        <f t="shared" si="142"/>
        <v>980</v>
      </c>
      <c r="H594" s="819">
        <f t="shared" si="143"/>
        <v>1.8846153846153846</v>
      </c>
      <c r="I594" s="553">
        <f t="shared" si="144"/>
        <v>-920</v>
      </c>
      <c r="J594" s="819">
        <f t="shared" si="145"/>
        <v>-0.38016528925619836</v>
      </c>
    </row>
    <row r="595" spans="1:10" x14ac:dyDescent="0.2">
      <c r="A595" s="79" t="s">
        <v>172</v>
      </c>
      <c r="B595" s="89">
        <v>1000</v>
      </c>
      <c r="C595" s="89"/>
      <c r="D595" s="553">
        <v>-1000</v>
      </c>
      <c r="E595" s="89">
        <f t="shared" si="141"/>
        <v>0</v>
      </c>
      <c r="F595" s="553">
        <v>1000</v>
      </c>
      <c r="G595" s="553">
        <f t="shared" si="142"/>
        <v>0</v>
      </c>
      <c r="H595" s="819">
        <f t="shared" si="143"/>
        <v>0</v>
      </c>
      <c r="I595" s="553">
        <f t="shared" si="144"/>
        <v>1000</v>
      </c>
      <c r="J595" s="819"/>
    </row>
    <row r="596" spans="1:10" x14ac:dyDescent="0.2">
      <c r="A596" s="79"/>
      <c r="B596" s="89"/>
      <c r="C596" s="89"/>
      <c r="D596" s="553"/>
      <c r="E596" s="89">
        <f t="shared" si="141"/>
        <v>0</v>
      </c>
      <c r="F596" s="553"/>
      <c r="G596" s="553">
        <f t="shared" si="142"/>
        <v>0</v>
      </c>
      <c r="H596" s="819"/>
      <c r="I596" s="553">
        <f t="shared" si="144"/>
        <v>0</v>
      </c>
      <c r="J596" s="819"/>
    </row>
    <row r="597" spans="1:10" x14ac:dyDescent="0.2">
      <c r="A597" s="76" t="s">
        <v>1131</v>
      </c>
      <c r="B597" s="88">
        <f>B601+B598</f>
        <v>70435</v>
      </c>
      <c r="C597" s="88">
        <f>C601+C598</f>
        <v>-23500</v>
      </c>
      <c r="D597" s="549">
        <f>D601+D598</f>
        <v>-9240</v>
      </c>
      <c r="E597" s="88">
        <f t="shared" si="141"/>
        <v>37695</v>
      </c>
      <c r="F597" s="549">
        <f>F601+F598</f>
        <v>47455</v>
      </c>
      <c r="G597" s="549">
        <f t="shared" si="142"/>
        <v>-22980</v>
      </c>
      <c r="H597" s="815">
        <f t="shared" si="143"/>
        <v>-0.3262582522893448</v>
      </c>
      <c r="I597" s="549">
        <f t="shared" si="144"/>
        <v>9760</v>
      </c>
      <c r="J597" s="815">
        <f t="shared" si="145"/>
        <v>0.25892028120440375</v>
      </c>
    </row>
    <row r="598" spans="1:10" x14ac:dyDescent="0.2">
      <c r="A598" s="76" t="s">
        <v>124</v>
      </c>
      <c r="B598" s="88">
        <f>B599+B600</f>
        <v>1435</v>
      </c>
      <c r="C598" s="88">
        <f>C599+C600</f>
        <v>0</v>
      </c>
      <c r="D598" s="549">
        <f>D599+D600</f>
        <v>0</v>
      </c>
      <c r="E598" s="88">
        <f t="shared" si="141"/>
        <v>1435</v>
      </c>
      <c r="F598" s="549">
        <f>F599+F600</f>
        <v>1455</v>
      </c>
      <c r="G598" s="549">
        <f t="shared" si="142"/>
        <v>20</v>
      </c>
      <c r="H598" s="815">
        <f t="shared" si="143"/>
        <v>1.3937282229965157E-2</v>
      </c>
      <c r="I598" s="549">
        <f t="shared" si="144"/>
        <v>20</v>
      </c>
      <c r="J598" s="815">
        <f t="shared" si="145"/>
        <v>1.3937282229965157E-2</v>
      </c>
    </row>
    <row r="599" spans="1:10" x14ac:dyDescent="0.2">
      <c r="A599" s="77" t="s">
        <v>162</v>
      </c>
      <c r="B599" s="90">
        <v>1210</v>
      </c>
      <c r="C599" s="90"/>
      <c r="D599" s="558"/>
      <c r="E599" s="90">
        <f t="shared" si="141"/>
        <v>1210</v>
      </c>
      <c r="F599" s="558">
        <v>1230</v>
      </c>
      <c r="G599" s="558">
        <f t="shared" si="142"/>
        <v>20</v>
      </c>
      <c r="H599" s="814">
        <f t="shared" si="143"/>
        <v>1.6528925619834711E-2</v>
      </c>
      <c r="I599" s="558">
        <f t="shared" si="144"/>
        <v>20</v>
      </c>
      <c r="J599" s="814">
        <f t="shared" si="145"/>
        <v>1.6528925619834711E-2</v>
      </c>
    </row>
    <row r="600" spans="1:10" x14ac:dyDescent="0.2">
      <c r="A600" s="77" t="s">
        <v>163</v>
      </c>
      <c r="B600" s="90">
        <v>225</v>
      </c>
      <c r="C600" s="90"/>
      <c r="D600" s="558"/>
      <c r="E600" s="90">
        <f t="shared" si="141"/>
        <v>225</v>
      </c>
      <c r="F600" s="558">
        <v>225</v>
      </c>
      <c r="G600" s="558">
        <f t="shared" si="142"/>
        <v>0</v>
      </c>
      <c r="H600" s="814">
        <f t="shared" si="143"/>
        <v>0</v>
      </c>
      <c r="I600" s="558">
        <f t="shared" si="144"/>
        <v>0</v>
      </c>
      <c r="J600" s="814">
        <f t="shared" si="145"/>
        <v>0</v>
      </c>
    </row>
    <row r="601" spans="1:10" x14ac:dyDescent="0.2">
      <c r="A601" s="81" t="s">
        <v>125</v>
      </c>
      <c r="B601" s="91">
        <f>B602+B603</f>
        <v>69000</v>
      </c>
      <c r="C601" s="91">
        <f>C602+C603</f>
        <v>-23500</v>
      </c>
      <c r="D601" s="560">
        <f>D602+D603</f>
        <v>-9240</v>
      </c>
      <c r="E601" s="91">
        <f t="shared" si="141"/>
        <v>36260</v>
      </c>
      <c r="F601" s="560">
        <f>F602+F603</f>
        <v>46000</v>
      </c>
      <c r="G601" s="560">
        <f t="shared" si="142"/>
        <v>-23000</v>
      </c>
      <c r="H601" s="820">
        <f t="shared" si="143"/>
        <v>-0.33333333333333331</v>
      </c>
      <c r="I601" s="560">
        <f t="shared" si="144"/>
        <v>9740</v>
      </c>
      <c r="J601" s="820">
        <f t="shared" si="145"/>
        <v>0.26861555432984002</v>
      </c>
    </row>
    <row r="602" spans="1:10" x14ac:dyDescent="0.2">
      <c r="A602" s="77" t="s">
        <v>170</v>
      </c>
      <c r="B602" s="90">
        <v>68000</v>
      </c>
      <c r="C602" s="90">
        <f>-17000-5500</f>
        <v>-22500</v>
      </c>
      <c r="D602" s="558">
        <v>-9300</v>
      </c>
      <c r="E602" s="90">
        <f t="shared" si="141"/>
        <v>36200</v>
      </c>
      <c r="F602" s="558">
        <v>46000</v>
      </c>
      <c r="G602" s="558">
        <f t="shared" si="142"/>
        <v>-22000</v>
      </c>
      <c r="H602" s="814">
        <f t="shared" si="143"/>
        <v>-0.3235294117647059</v>
      </c>
      <c r="I602" s="558">
        <f t="shared" si="144"/>
        <v>9800</v>
      </c>
      <c r="J602" s="814">
        <f t="shared" si="145"/>
        <v>0.27071823204419887</v>
      </c>
    </row>
    <row r="603" spans="1:10" x14ac:dyDescent="0.2">
      <c r="A603" s="79" t="s">
        <v>190</v>
      </c>
      <c r="B603" s="89">
        <v>1000</v>
      </c>
      <c r="C603" s="89">
        <v>-1000</v>
      </c>
      <c r="D603" s="553">
        <v>60</v>
      </c>
      <c r="E603" s="90">
        <f t="shared" si="141"/>
        <v>60</v>
      </c>
      <c r="F603" s="553"/>
      <c r="G603" s="553">
        <f t="shared" si="142"/>
        <v>-1000</v>
      </c>
      <c r="H603" s="819">
        <f t="shared" si="143"/>
        <v>-1</v>
      </c>
      <c r="I603" s="553">
        <f t="shared" si="144"/>
        <v>-60</v>
      </c>
      <c r="J603" s="819">
        <f t="shared" si="145"/>
        <v>-1</v>
      </c>
    </row>
    <row r="604" spans="1:10" x14ac:dyDescent="0.2">
      <c r="A604" s="77"/>
      <c r="B604" s="90"/>
      <c r="C604" s="90"/>
      <c r="D604" s="558"/>
      <c r="E604" s="90">
        <f t="shared" si="141"/>
        <v>0</v>
      </c>
      <c r="F604" s="558"/>
      <c r="G604" s="558">
        <f t="shared" si="142"/>
        <v>0</v>
      </c>
      <c r="H604" s="814"/>
      <c r="I604" s="558">
        <f t="shared" si="144"/>
        <v>0</v>
      </c>
      <c r="J604" s="814"/>
    </row>
    <row r="605" spans="1:10" x14ac:dyDescent="0.2">
      <c r="A605" s="76" t="s">
        <v>1132</v>
      </c>
      <c r="B605" s="88">
        <f>B606+B611</f>
        <v>5820</v>
      </c>
      <c r="C605" s="88">
        <f>C606</f>
        <v>-800</v>
      </c>
      <c r="D605" s="88">
        <f>D606+D611</f>
        <v>0</v>
      </c>
      <c r="E605" s="88">
        <f t="shared" si="141"/>
        <v>5020</v>
      </c>
      <c r="F605" s="549">
        <f>F606+F611</f>
        <v>3710</v>
      </c>
      <c r="G605" s="549">
        <f t="shared" si="142"/>
        <v>-2110</v>
      </c>
      <c r="H605" s="815">
        <f t="shared" si="143"/>
        <v>-0.36254295532646047</v>
      </c>
      <c r="I605" s="549">
        <f t="shared" si="144"/>
        <v>-1310</v>
      </c>
      <c r="J605" s="815">
        <f t="shared" si="145"/>
        <v>-0.26095617529880477</v>
      </c>
    </row>
    <row r="606" spans="1:10" x14ac:dyDescent="0.2">
      <c r="A606" s="76" t="s">
        <v>134</v>
      </c>
      <c r="B606" s="88">
        <f>B607+B608+B609+B610</f>
        <v>5820</v>
      </c>
      <c r="C606" s="88">
        <f>C607+C608+C609+C612</f>
        <v>-800</v>
      </c>
      <c r="D606" s="88">
        <f>D607+D608+D609+D610</f>
        <v>-700</v>
      </c>
      <c r="E606" s="88">
        <f t="shared" si="141"/>
        <v>4320</v>
      </c>
      <c r="F606" s="549">
        <f>F607+F608+F609</f>
        <v>1710</v>
      </c>
      <c r="G606" s="549">
        <f t="shared" si="142"/>
        <v>-4110</v>
      </c>
      <c r="H606" s="815">
        <f t="shared" si="143"/>
        <v>-0.70618556701030932</v>
      </c>
      <c r="I606" s="549">
        <f t="shared" si="144"/>
        <v>-2610</v>
      </c>
      <c r="J606" s="815">
        <f t="shared" si="145"/>
        <v>-0.60416666666666663</v>
      </c>
    </row>
    <row r="607" spans="1:10" x14ac:dyDescent="0.2">
      <c r="A607" s="68" t="s">
        <v>182</v>
      </c>
      <c r="B607" s="70">
        <v>1045</v>
      </c>
      <c r="C607" s="70">
        <v>-200</v>
      </c>
      <c r="D607" s="70">
        <v>-170</v>
      </c>
      <c r="E607" s="70">
        <f t="shared" si="141"/>
        <v>675</v>
      </c>
      <c r="F607" s="581">
        <v>360</v>
      </c>
      <c r="G607" s="581">
        <f t="shared" si="142"/>
        <v>-685</v>
      </c>
      <c r="H607" s="814">
        <f t="shared" si="143"/>
        <v>-0.65550239234449759</v>
      </c>
      <c r="I607" s="581">
        <f t="shared" si="144"/>
        <v>-315</v>
      </c>
      <c r="J607" s="814">
        <f t="shared" si="145"/>
        <v>-0.46666666666666667</v>
      </c>
    </row>
    <row r="608" spans="1:10" x14ac:dyDescent="0.2">
      <c r="A608" s="68" t="s">
        <v>184</v>
      </c>
      <c r="B608" s="70">
        <v>1425</v>
      </c>
      <c r="C608" s="70">
        <v>-600</v>
      </c>
      <c r="D608" s="70">
        <v>600</v>
      </c>
      <c r="E608" s="70">
        <f t="shared" si="141"/>
        <v>1425</v>
      </c>
      <c r="F608" s="581"/>
      <c r="G608" s="581">
        <f t="shared" si="142"/>
        <v>-1425</v>
      </c>
      <c r="H608" s="814">
        <f t="shared" si="143"/>
        <v>-1</v>
      </c>
      <c r="I608" s="581">
        <f t="shared" si="144"/>
        <v>-1425</v>
      </c>
      <c r="J608" s="814">
        <f t="shared" si="145"/>
        <v>-1</v>
      </c>
    </row>
    <row r="609" spans="1:10" x14ac:dyDescent="0.2">
      <c r="A609" s="68" t="s">
        <v>191</v>
      </c>
      <c r="B609" s="70">
        <v>1350</v>
      </c>
      <c r="C609" s="70"/>
      <c r="D609" s="70">
        <v>870</v>
      </c>
      <c r="E609" s="70">
        <f t="shared" si="141"/>
        <v>2220</v>
      </c>
      <c r="F609" s="581">
        <v>1350</v>
      </c>
      <c r="G609" s="581">
        <f t="shared" si="142"/>
        <v>0</v>
      </c>
      <c r="H609" s="814">
        <f t="shared" si="143"/>
        <v>0</v>
      </c>
      <c r="I609" s="581">
        <f t="shared" si="144"/>
        <v>-870</v>
      </c>
      <c r="J609" s="814">
        <f t="shared" si="145"/>
        <v>-0.39189189189189189</v>
      </c>
    </row>
    <row r="610" spans="1:10" x14ac:dyDescent="0.2">
      <c r="A610" s="68" t="s">
        <v>481</v>
      </c>
      <c r="B610" s="70">
        <v>2000</v>
      </c>
      <c r="C610" s="70"/>
      <c r="D610" s="70">
        <v>-2000</v>
      </c>
      <c r="E610" s="70">
        <f t="shared" si="141"/>
        <v>0</v>
      </c>
      <c r="F610" s="581"/>
      <c r="G610" s="581">
        <f t="shared" si="142"/>
        <v>-2000</v>
      </c>
      <c r="H610" s="814">
        <f t="shared" si="143"/>
        <v>-1</v>
      </c>
      <c r="I610" s="581">
        <f t="shared" si="144"/>
        <v>0</v>
      </c>
      <c r="J610" s="814"/>
    </row>
    <row r="611" spans="1:10" x14ac:dyDescent="0.2">
      <c r="A611" s="552" t="s">
        <v>129</v>
      </c>
      <c r="B611" s="70">
        <f>B612</f>
        <v>0</v>
      </c>
      <c r="C611" s="70"/>
      <c r="D611" s="70">
        <f>D612</f>
        <v>700</v>
      </c>
      <c r="E611" s="70">
        <f t="shared" si="141"/>
        <v>700</v>
      </c>
      <c r="F611" s="581">
        <f>F612</f>
        <v>2000</v>
      </c>
      <c r="G611" s="581">
        <f t="shared" si="142"/>
        <v>2000</v>
      </c>
      <c r="H611" s="814"/>
      <c r="I611" s="581">
        <f t="shared" si="144"/>
        <v>1300</v>
      </c>
      <c r="J611" s="814">
        <f t="shared" si="145"/>
        <v>1.8571428571428572</v>
      </c>
    </row>
    <row r="612" spans="1:10" x14ac:dyDescent="0.2">
      <c r="A612" s="68" t="s">
        <v>481</v>
      </c>
      <c r="B612" s="70"/>
      <c r="C612" s="70"/>
      <c r="D612" s="70">
        <v>700</v>
      </c>
      <c r="E612" s="70">
        <f t="shared" si="141"/>
        <v>700</v>
      </c>
      <c r="F612" s="581">
        <v>2000</v>
      </c>
      <c r="G612" s="581">
        <f t="shared" si="142"/>
        <v>2000</v>
      </c>
      <c r="H612" s="814"/>
      <c r="I612" s="581">
        <f t="shared" si="144"/>
        <v>1300</v>
      </c>
      <c r="J612" s="814">
        <f t="shared" si="145"/>
        <v>1.8571428571428572</v>
      </c>
    </row>
    <row r="613" spans="1:10" x14ac:dyDescent="0.2">
      <c r="A613" s="77"/>
      <c r="B613" s="90"/>
      <c r="C613" s="90"/>
      <c r="D613" s="581"/>
      <c r="E613" s="90">
        <f t="shared" si="141"/>
        <v>0</v>
      </c>
      <c r="F613" s="90"/>
      <c r="G613" s="90">
        <f t="shared" si="142"/>
        <v>0</v>
      </c>
      <c r="H613" s="527"/>
      <c r="I613" s="90">
        <f t="shared" si="144"/>
        <v>0</v>
      </c>
      <c r="J613" s="527"/>
    </row>
    <row r="614" spans="1:10" x14ac:dyDescent="0.2">
      <c r="A614" s="78" t="s">
        <v>1121</v>
      </c>
      <c r="B614" s="87">
        <f>B616+B630+B646</f>
        <v>837847</v>
      </c>
      <c r="C614" s="87">
        <f>C616+C630+C646</f>
        <v>-16231</v>
      </c>
      <c r="D614" s="87">
        <f>D616+D630+D646</f>
        <v>-60343</v>
      </c>
      <c r="E614" s="87">
        <f t="shared" si="141"/>
        <v>761273</v>
      </c>
      <c r="F614" s="548">
        <f>F616+F630+F646</f>
        <v>862275</v>
      </c>
      <c r="G614" s="548">
        <f t="shared" si="142"/>
        <v>24428</v>
      </c>
      <c r="H614" s="818">
        <f t="shared" si="143"/>
        <v>2.9155681168518834E-2</v>
      </c>
      <c r="I614" s="548">
        <f t="shared" si="144"/>
        <v>101002</v>
      </c>
      <c r="J614" s="818">
        <f t="shared" si="145"/>
        <v>0.13267513756563021</v>
      </c>
    </row>
    <row r="615" spans="1:10" x14ac:dyDescent="0.2">
      <c r="A615" s="80"/>
      <c r="B615" s="94"/>
      <c r="C615" s="94"/>
      <c r="D615" s="551"/>
      <c r="E615" s="94">
        <f t="shared" si="141"/>
        <v>0</v>
      </c>
      <c r="F615" s="551"/>
      <c r="G615" s="551">
        <f t="shared" si="142"/>
        <v>0</v>
      </c>
      <c r="H615" s="822"/>
      <c r="I615" s="551">
        <f t="shared" si="144"/>
        <v>0</v>
      </c>
      <c r="J615" s="822"/>
    </row>
    <row r="616" spans="1:10" x14ac:dyDescent="0.2">
      <c r="A616" s="76" t="s">
        <v>1122</v>
      </c>
      <c r="B616" s="88">
        <f>B617+B620+B626+B623</f>
        <v>392413</v>
      </c>
      <c r="C616" s="88">
        <f>C617+C620+C626+C623</f>
        <v>17217</v>
      </c>
      <c r="D616" s="549">
        <f>D617+D620+D626+D623</f>
        <v>-1343</v>
      </c>
      <c r="E616" s="88">
        <f t="shared" si="141"/>
        <v>408287</v>
      </c>
      <c r="F616" s="549">
        <f>F617+F620+F626+F623</f>
        <v>386576</v>
      </c>
      <c r="G616" s="549">
        <f t="shared" si="142"/>
        <v>-5837</v>
      </c>
      <c r="H616" s="815">
        <f t="shared" si="143"/>
        <v>-1.4874634632389855E-2</v>
      </c>
      <c r="I616" s="549">
        <f t="shared" si="144"/>
        <v>-21711</v>
      </c>
      <c r="J616" s="815">
        <f t="shared" si="145"/>
        <v>-5.3175829747212133E-2</v>
      </c>
    </row>
    <row r="617" spans="1:10" x14ac:dyDescent="0.2">
      <c r="A617" s="76" t="s">
        <v>132</v>
      </c>
      <c r="B617" s="88">
        <f>SUM(B618:B619)</f>
        <v>44200</v>
      </c>
      <c r="C617" s="88">
        <f>SUM(C618:C619)</f>
        <v>0</v>
      </c>
      <c r="D617" s="549">
        <f>SUM(D618:D619)</f>
        <v>1520</v>
      </c>
      <c r="E617" s="88">
        <f t="shared" si="141"/>
        <v>45720</v>
      </c>
      <c r="F617" s="549">
        <f>SUM(F618:F619)</f>
        <v>45720</v>
      </c>
      <c r="G617" s="549">
        <f t="shared" si="142"/>
        <v>1520</v>
      </c>
      <c r="H617" s="815">
        <f t="shared" si="143"/>
        <v>3.4389140271493215E-2</v>
      </c>
      <c r="I617" s="549">
        <f t="shared" si="144"/>
        <v>0</v>
      </c>
      <c r="J617" s="815">
        <f t="shared" si="145"/>
        <v>0</v>
      </c>
    </row>
    <row r="618" spans="1:10" x14ac:dyDescent="0.2">
      <c r="A618" s="77" t="s">
        <v>179</v>
      </c>
      <c r="B618" s="90">
        <v>19480</v>
      </c>
      <c r="C618" s="90"/>
      <c r="D618" s="558">
        <v>1520</v>
      </c>
      <c r="E618" s="90">
        <f t="shared" si="141"/>
        <v>21000</v>
      </c>
      <c r="F618" s="558">
        <v>21000</v>
      </c>
      <c r="G618" s="558">
        <f t="shared" si="142"/>
        <v>1520</v>
      </c>
      <c r="H618" s="814">
        <f t="shared" si="143"/>
        <v>7.8028747433264892E-2</v>
      </c>
      <c r="I618" s="558">
        <f t="shared" si="144"/>
        <v>0</v>
      </c>
      <c r="J618" s="814">
        <f t="shared" si="145"/>
        <v>0</v>
      </c>
    </row>
    <row r="619" spans="1:10" x14ac:dyDescent="0.2">
      <c r="A619" s="77" t="s">
        <v>163</v>
      </c>
      <c r="B619" s="90">
        <v>24720</v>
      </c>
      <c r="C619" s="90"/>
      <c r="D619" s="558"/>
      <c r="E619" s="90">
        <f t="shared" si="141"/>
        <v>24720</v>
      </c>
      <c r="F619" s="558">
        <v>24720</v>
      </c>
      <c r="G619" s="558">
        <f t="shared" si="142"/>
        <v>0</v>
      </c>
      <c r="H619" s="814">
        <f t="shared" si="143"/>
        <v>0</v>
      </c>
      <c r="I619" s="558">
        <f t="shared" si="144"/>
        <v>0</v>
      </c>
      <c r="J619" s="814">
        <f t="shared" si="145"/>
        <v>0</v>
      </c>
    </row>
    <row r="620" spans="1:10" x14ac:dyDescent="0.2">
      <c r="A620" s="76" t="s">
        <v>124</v>
      </c>
      <c r="B620" s="88">
        <f>SUM(B621:B622)</f>
        <v>87213</v>
      </c>
      <c r="C620" s="88">
        <f>SUM(C621:C622)</f>
        <v>-2278</v>
      </c>
      <c r="D620" s="549">
        <f>SUM(D621:D622)</f>
        <v>-2087</v>
      </c>
      <c r="E620" s="88">
        <f t="shared" si="141"/>
        <v>82848</v>
      </c>
      <c r="F620" s="549">
        <f>SUM(F621:F622)</f>
        <v>90266</v>
      </c>
      <c r="G620" s="549">
        <f t="shared" si="142"/>
        <v>3053</v>
      </c>
      <c r="H620" s="815">
        <f t="shared" si="143"/>
        <v>3.5006249068372831E-2</v>
      </c>
      <c r="I620" s="549">
        <f t="shared" si="144"/>
        <v>7418</v>
      </c>
      <c r="J620" s="815">
        <f t="shared" si="145"/>
        <v>8.9537466203167243E-2</v>
      </c>
    </row>
    <row r="621" spans="1:10" x14ac:dyDescent="0.2">
      <c r="A621" s="77" t="s">
        <v>162</v>
      </c>
      <c r="B621" s="90">
        <v>59013</v>
      </c>
      <c r="C621" s="90">
        <v>-2278</v>
      </c>
      <c r="D621" s="558">
        <v>-2087</v>
      </c>
      <c r="E621" s="90">
        <f t="shared" si="141"/>
        <v>54648</v>
      </c>
      <c r="F621" s="558">
        <v>62066</v>
      </c>
      <c r="G621" s="558">
        <f t="shared" si="142"/>
        <v>3053</v>
      </c>
      <c r="H621" s="814">
        <f t="shared" si="143"/>
        <v>5.173436361479674E-2</v>
      </c>
      <c r="I621" s="558">
        <f t="shared" si="144"/>
        <v>7418</v>
      </c>
      <c r="J621" s="814">
        <f t="shared" si="145"/>
        <v>0.13574147269799444</v>
      </c>
    </row>
    <row r="622" spans="1:10" x14ac:dyDescent="0.2">
      <c r="A622" s="77" t="s">
        <v>163</v>
      </c>
      <c r="B622" s="90">
        <v>28200</v>
      </c>
      <c r="C622" s="90"/>
      <c r="D622" s="558"/>
      <c r="E622" s="90">
        <f t="shared" si="141"/>
        <v>28200</v>
      </c>
      <c r="F622" s="558">
        <v>28200</v>
      </c>
      <c r="G622" s="558">
        <f t="shared" si="142"/>
        <v>0</v>
      </c>
      <c r="H622" s="814">
        <f t="shared" si="143"/>
        <v>0</v>
      </c>
      <c r="I622" s="558">
        <f t="shared" si="144"/>
        <v>0</v>
      </c>
      <c r="J622" s="814">
        <f t="shared" si="145"/>
        <v>0</v>
      </c>
    </row>
    <row r="623" spans="1:10" x14ac:dyDescent="0.2">
      <c r="A623" s="76" t="s">
        <v>131</v>
      </c>
      <c r="B623" s="88">
        <f>SUM(B624:B625)</f>
        <v>121000</v>
      </c>
      <c r="C623" s="88">
        <f>SUM(C624:C625)</f>
        <v>15300</v>
      </c>
      <c r="D623" s="549">
        <f>SUM(D624:D625)</f>
        <v>6224</v>
      </c>
      <c r="E623" s="88">
        <f t="shared" si="141"/>
        <v>142524</v>
      </c>
      <c r="F623" s="549">
        <f>SUM(F624:F625)</f>
        <v>115390</v>
      </c>
      <c r="G623" s="549">
        <f t="shared" si="142"/>
        <v>-5610</v>
      </c>
      <c r="H623" s="815">
        <f t="shared" si="143"/>
        <v>-4.6363636363636364E-2</v>
      </c>
      <c r="I623" s="549">
        <f t="shared" si="144"/>
        <v>-27134</v>
      </c>
      <c r="J623" s="815">
        <f t="shared" si="145"/>
        <v>-0.19038197075580254</v>
      </c>
    </row>
    <row r="624" spans="1:10" x14ac:dyDescent="0.2">
      <c r="A624" s="79" t="s">
        <v>188</v>
      </c>
      <c r="B624" s="89">
        <v>60000</v>
      </c>
      <c r="C624" s="89"/>
      <c r="D624" s="553"/>
      <c r="E624" s="89">
        <f t="shared" si="141"/>
        <v>60000</v>
      </c>
      <c r="F624" s="553">
        <v>54000</v>
      </c>
      <c r="G624" s="553">
        <f t="shared" si="142"/>
        <v>-6000</v>
      </c>
      <c r="H624" s="819">
        <f t="shared" si="143"/>
        <v>-0.1</v>
      </c>
      <c r="I624" s="553">
        <f t="shared" si="144"/>
        <v>-6000</v>
      </c>
      <c r="J624" s="819">
        <f t="shared" si="145"/>
        <v>-0.1</v>
      </c>
    </row>
    <row r="625" spans="1:10" x14ac:dyDescent="0.2">
      <c r="A625" s="79" t="s">
        <v>176</v>
      </c>
      <c r="B625" s="89">
        <v>61000</v>
      </c>
      <c r="C625" s="89">
        <v>15300</v>
      </c>
      <c r="D625" s="553">
        <v>6224</v>
      </c>
      <c r="E625" s="89">
        <f t="shared" si="141"/>
        <v>82524</v>
      </c>
      <c r="F625" s="553">
        <v>61390</v>
      </c>
      <c r="G625" s="553">
        <f t="shared" si="142"/>
        <v>390</v>
      </c>
      <c r="H625" s="819">
        <f t="shared" si="143"/>
        <v>6.3934426229508194E-3</v>
      </c>
      <c r="I625" s="553">
        <f t="shared" si="144"/>
        <v>-21134</v>
      </c>
      <c r="J625" s="819">
        <f t="shared" si="145"/>
        <v>-0.25609519654888274</v>
      </c>
    </row>
    <row r="626" spans="1:10" x14ac:dyDescent="0.2">
      <c r="A626" s="81" t="s">
        <v>125</v>
      </c>
      <c r="B626" s="91">
        <f>SUM(B627:B628)</f>
        <v>140000</v>
      </c>
      <c r="C626" s="91">
        <f>SUM(C627:C628)</f>
        <v>4195</v>
      </c>
      <c r="D626" s="560">
        <f>SUM(D627:D628)</f>
        <v>-7000</v>
      </c>
      <c r="E626" s="91">
        <f t="shared" si="141"/>
        <v>137195</v>
      </c>
      <c r="F626" s="560">
        <f>SUM(F627:F628)</f>
        <v>135200</v>
      </c>
      <c r="G626" s="560">
        <f t="shared" si="142"/>
        <v>-4800</v>
      </c>
      <c r="H626" s="820">
        <f t="shared" si="143"/>
        <v>-3.4285714285714287E-2</v>
      </c>
      <c r="I626" s="560">
        <f t="shared" si="144"/>
        <v>-1995</v>
      </c>
      <c r="J626" s="820">
        <f t="shared" si="145"/>
        <v>-1.4541346258974453E-2</v>
      </c>
    </row>
    <row r="627" spans="1:10" x14ac:dyDescent="0.2">
      <c r="A627" s="77" t="s">
        <v>186</v>
      </c>
      <c r="B627" s="90">
        <v>119000</v>
      </c>
      <c r="C627" s="90">
        <v>4195</v>
      </c>
      <c r="D627" s="558"/>
      <c r="E627" s="90">
        <f t="shared" si="141"/>
        <v>123195</v>
      </c>
      <c r="F627" s="558">
        <v>115200</v>
      </c>
      <c r="G627" s="558">
        <f t="shared" si="142"/>
        <v>-3800</v>
      </c>
      <c r="H627" s="814">
        <f t="shared" si="143"/>
        <v>-3.1932773109243695E-2</v>
      </c>
      <c r="I627" s="558">
        <f t="shared" si="144"/>
        <v>-7995</v>
      </c>
      <c r="J627" s="814">
        <f t="shared" si="145"/>
        <v>-6.4897114330938754E-2</v>
      </c>
    </row>
    <row r="628" spans="1:10" x14ac:dyDescent="0.2">
      <c r="A628" s="79" t="s">
        <v>177</v>
      </c>
      <c r="B628" s="89">
        <v>21000</v>
      </c>
      <c r="C628" s="89"/>
      <c r="D628" s="553">
        <v>-7000</v>
      </c>
      <c r="E628" s="90">
        <f t="shared" si="141"/>
        <v>14000</v>
      </c>
      <c r="F628" s="553">
        <v>20000</v>
      </c>
      <c r="G628" s="553">
        <f t="shared" si="142"/>
        <v>-1000</v>
      </c>
      <c r="H628" s="819">
        <f t="shared" si="143"/>
        <v>-4.7619047619047616E-2</v>
      </c>
      <c r="I628" s="553">
        <f t="shared" si="144"/>
        <v>6000</v>
      </c>
      <c r="J628" s="819">
        <f t="shared" si="145"/>
        <v>0.42857142857142855</v>
      </c>
    </row>
    <row r="629" spans="1:10" x14ac:dyDescent="0.2">
      <c r="A629" s="79"/>
      <c r="B629" s="89"/>
      <c r="C629" s="89"/>
      <c r="D629" s="553"/>
      <c r="E629" s="89">
        <f t="shared" si="141"/>
        <v>0</v>
      </c>
      <c r="F629" s="553"/>
      <c r="G629" s="553">
        <f t="shared" si="142"/>
        <v>0</v>
      </c>
      <c r="H629" s="819"/>
      <c r="I629" s="553">
        <f t="shared" si="144"/>
        <v>0</v>
      </c>
      <c r="J629" s="819"/>
    </row>
    <row r="630" spans="1:10" x14ac:dyDescent="0.2">
      <c r="A630" s="76" t="s">
        <v>1123</v>
      </c>
      <c r="B630" s="88">
        <f>B631+B640+B637</f>
        <v>363434</v>
      </c>
      <c r="C630" s="88">
        <f>C631+C640+C637</f>
        <v>-34800</v>
      </c>
      <c r="D630" s="549">
        <f>D631+D640+D637+D643</f>
        <v>-56000</v>
      </c>
      <c r="E630" s="88">
        <f t="shared" ref="E630:E693" si="146">B630+C630+D630</f>
        <v>272634</v>
      </c>
      <c r="F630" s="549">
        <f>F631+F640+F637</f>
        <v>392699</v>
      </c>
      <c r="G630" s="549">
        <f t="shared" si="142"/>
        <v>29265</v>
      </c>
      <c r="H630" s="815">
        <f t="shared" si="143"/>
        <v>8.0523561361897894E-2</v>
      </c>
      <c r="I630" s="549">
        <f t="shared" si="144"/>
        <v>120065</v>
      </c>
      <c r="J630" s="815">
        <f t="shared" si="145"/>
        <v>0.44038894635298603</v>
      </c>
    </row>
    <row r="631" spans="1:10" x14ac:dyDescent="0.2">
      <c r="A631" s="76" t="s">
        <v>128</v>
      </c>
      <c r="B631" s="88">
        <f>SUM(B632:B636)</f>
        <v>113700</v>
      </c>
      <c r="C631" s="88">
        <f>SUM(C632:C636)</f>
        <v>-30000</v>
      </c>
      <c r="D631" s="549">
        <f>SUM(D632:D636)</f>
        <v>-57000</v>
      </c>
      <c r="E631" s="88">
        <f t="shared" si="146"/>
        <v>26700</v>
      </c>
      <c r="F631" s="549">
        <f>SUM(F632:F636)</f>
        <v>138300</v>
      </c>
      <c r="G631" s="549">
        <f t="shared" si="142"/>
        <v>24600</v>
      </c>
      <c r="H631" s="815">
        <f t="shared" si="143"/>
        <v>0.21635883905013192</v>
      </c>
      <c r="I631" s="549">
        <f t="shared" si="144"/>
        <v>111600</v>
      </c>
      <c r="J631" s="815">
        <f t="shared" si="145"/>
        <v>4.1797752808988768</v>
      </c>
    </row>
    <row r="632" spans="1:10" x14ac:dyDescent="0.2">
      <c r="A632" s="77" t="s">
        <v>173</v>
      </c>
      <c r="B632" s="88">
        <v>1500</v>
      </c>
      <c r="C632" s="88"/>
      <c r="D632" s="549">
        <v>1000</v>
      </c>
      <c r="E632" s="88">
        <f t="shared" si="146"/>
        <v>2500</v>
      </c>
      <c r="F632" s="549">
        <v>23100</v>
      </c>
      <c r="G632" s="549">
        <f t="shared" si="142"/>
        <v>21600</v>
      </c>
      <c r="H632" s="815">
        <f t="shared" si="143"/>
        <v>14.4</v>
      </c>
      <c r="I632" s="549">
        <f t="shared" si="144"/>
        <v>20600</v>
      </c>
      <c r="J632" s="815">
        <f t="shared" si="145"/>
        <v>8.24</v>
      </c>
    </row>
    <row r="633" spans="1:10" x14ac:dyDescent="0.2">
      <c r="A633" s="77" t="s">
        <v>170</v>
      </c>
      <c r="B633" s="90">
        <v>12000</v>
      </c>
      <c r="C633" s="90"/>
      <c r="D633" s="558">
        <v>-11000</v>
      </c>
      <c r="E633" s="88">
        <f t="shared" si="146"/>
        <v>1000</v>
      </c>
      <c r="F633" s="558">
        <v>15000</v>
      </c>
      <c r="G633" s="558">
        <f t="shared" si="142"/>
        <v>3000</v>
      </c>
      <c r="H633" s="814">
        <f t="shared" si="143"/>
        <v>0.25</v>
      </c>
      <c r="I633" s="558">
        <f t="shared" si="144"/>
        <v>14000</v>
      </c>
      <c r="J633" s="814">
        <f t="shared" si="145"/>
        <v>14</v>
      </c>
    </row>
    <row r="634" spans="1:10" ht="25.5" x14ac:dyDescent="0.2">
      <c r="A634" s="79" t="s">
        <v>175</v>
      </c>
      <c r="B634" s="89">
        <v>90000</v>
      </c>
      <c r="C634" s="89">
        <v>-30000</v>
      </c>
      <c r="D634" s="553">
        <v>-42000</v>
      </c>
      <c r="E634" s="88">
        <f t="shared" si="146"/>
        <v>18000</v>
      </c>
      <c r="F634" s="553">
        <v>90000</v>
      </c>
      <c r="G634" s="553">
        <f t="shared" si="142"/>
        <v>0</v>
      </c>
      <c r="H634" s="819">
        <f t="shared" si="143"/>
        <v>0</v>
      </c>
      <c r="I634" s="553">
        <f t="shared" si="144"/>
        <v>72000</v>
      </c>
      <c r="J634" s="819">
        <f t="shared" si="145"/>
        <v>4</v>
      </c>
    </row>
    <row r="635" spans="1:10" ht="25.5" x14ac:dyDescent="0.2">
      <c r="A635" s="79" t="s">
        <v>169</v>
      </c>
      <c r="B635" s="89">
        <v>6000</v>
      </c>
      <c r="C635" s="89"/>
      <c r="D635" s="553">
        <v>-5000</v>
      </c>
      <c r="E635" s="88">
        <f t="shared" si="146"/>
        <v>1000</v>
      </c>
      <c r="F635" s="553">
        <v>6000</v>
      </c>
      <c r="G635" s="553">
        <f t="shared" si="142"/>
        <v>0</v>
      </c>
      <c r="H635" s="819">
        <f t="shared" si="143"/>
        <v>0</v>
      </c>
      <c r="I635" s="553">
        <f t="shared" si="144"/>
        <v>5000</v>
      </c>
      <c r="J635" s="819">
        <f t="shared" si="145"/>
        <v>5</v>
      </c>
    </row>
    <row r="636" spans="1:10" x14ac:dyDescent="0.2">
      <c r="A636" s="79" t="s">
        <v>284</v>
      </c>
      <c r="B636" s="89">
        <v>4200</v>
      </c>
      <c r="C636" s="89"/>
      <c r="D636" s="553"/>
      <c r="E636" s="88">
        <f t="shared" si="146"/>
        <v>4200</v>
      </c>
      <c r="F636" s="553">
        <v>4200</v>
      </c>
      <c r="G636" s="553">
        <f t="shared" si="142"/>
        <v>0</v>
      </c>
      <c r="H636" s="819">
        <f t="shared" si="143"/>
        <v>0</v>
      </c>
      <c r="I636" s="553">
        <f t="shared" si="144"/>
        <v>0</v>
      </c>
      <c r="J636" s="819">
        <f t="shared" si="145"/>
        <v>0</v>
      </c>
    </row>
    <row r="637" spans="1:10" x14ac:dyDescent="0.2">
      <c r="A637" s="76" t="s">
        <v>124</v>
      </c>
      <c r="B637" s="88">
        <f>B638+B639</f>
        <v>238774</v>
      </c>
      <c r="C637" s="88">
        <f>C638+C639</f>
        <v>0</v>
      </c>
      <c r="D637" s="549">
        <f>D638+D639</f>
        <v>0</v>
      </c>
      <c r="E637" s="88">
        <f t="shared" si="146"/>
        <v>238774</v>
      </c>
      <c r="F637" s="549">
        <f>F638+F639</f>
        <v>242799</v>
      </c>
      <c r="G637" s="549">
        <f t="shared" si="142"/>
        <v>4025</v>
      </c>
      <c r="H637" s="815">
        <f t="shared" si="143"/>
        <v>1.6856944223407909E-2</v>
      </c>
      <c r="I637" s="549">
        <f t="shared" si="144"/>
        <v>4025</v>
      </c>
      <c r="J637" s="815">
        <f t="shared" si="145"/>
        <v>1.6856944223407909E-2</v>
      </c>
    </row>
    <row r="638" spans="1:10" x14ac:dyDescent="0.2">
      <c r="A638" s="77" t="s">
        <v>162</v>
      </c>
      <c r="B638" s="90">
        <v>199374</v>
      </c>
      <c r="C638" s="90"/>
      <c r="D638" s="558"/>
      <c r="E638" s="90">
        <f t="shared" si="146"/>
        <v>199374</v>
      </c>
      <c r="F638" s="558">
        <v>203399</v>
      </c>
      <c r="G638" s="558">
        <f t="shared" si="142"/>
        <v>4025</v>
      </c>
      <c r="H638" s="814">
        <f t="shared" si="143"/>
        <v>2.0188189031669124E-2</v>
      </c>
      <c r="I638" s="558">
        <f t="shared" si="144"/>
        <v>4025</v>
      </c>
      <c r="J638" s="814">
        <f t="shared" si="145"/>
        <v>2.0188189031669124E-2</v>
      </c>
    </row>
    <row r="639" spans="1:10" x14ac:dyDescent="0.2">
      <c r="A639" s="77" t="s">
        <v>163</v>
      </c>
      <c r="B639" s="90">
        <v>39400</v>
      </c>
      <c r="C639" s="90"/>
      <c r="D639" s="558"/>
      <c r="E639" s="90">
        <f t="shared" si="146"/>
        <v>39400</v>
      </c>
      <c r="F639" s="558">
        <v>39400</v>
      </c>
      <c r="G639" s="558">
        <f t="shared" si="142"/>
        <v>0</v>
      </c>
      <c r="H639" s="814">
        <f t="shared" si="143"/>
        <v>0</v>
      </c>
      <c r="I639" s="558">
        <f t="shared" si="144"/>
        <v>0</v>
      </c>
      <c r="J639" s="814">
        <f t="shared" si="145"/>
        <v>0</v>
      </c>
    </row>
    <row r="640" spans="1:10" x14ac:dyDescent="0.2">
      <c r="A640" s="76" t="s">
        <v>129</v>
      </c>
      <c r="B640" s="88">
        <f>SUM(B641:B642)</f>
        <v>10960</v>
      </c>
      <c r="C640" s="88">
        <f>SUM(C641:C642)</f>
        <v>-4800</v>
      </c>
      <c r="D640" s="549">
        <f>SUM(D641:D642)</f>
        <v>0</v>
      </c>
      <c r="E640" s="88">
        <f t="shared" si="146"/>
        <v>6160</v>
      </c>
      <c r="F640" s="549">
        <f>SUM(F641:F642)</f>
        <v>11600</v>
      </c>
      <c r="G640" s="549">
        <f t="shared" si="142"/>
        <v>640</v>
      </c>
      <c r="H640" s="815">
        <f t="shared" si="143"/>
        <v>5.8394160583941604E-2</v>
      </c>
      <c r="I640" s="549">
        <f t="shared" si="144"/>
        <v>5440</v>
      </c>
      <c r="J640" s="815">
        <f t="shared" si="145"/>
        <v>0.88311688311688308</v>
      </c>
    </row>
    <row r="641" spans="1:10" x14ac:dyDescent="0.2">
      <c r="A641" s="77" t="s">
        <v>313</v>
      </c>
      <c r="B641" s="90">
        <v>4660</v>
      </c>
      <c r="C641" s="90">
        <v>-3000</v>
      </c>
      <c r="D641" s="558"/>
      <c r="E641" s="90">
        <f t="shared" si="146"/>
        <v>1660</v>
      </c>
      <c r="F641" s="558">
        <v>5000</v>
      </c>
      <c r="G641" s="558">
        <f t="shared" si="142"/>
        <v>340</v>
      </c>
      <c r="H641" s="814">
        <f t="shared" si="143"/>
        <v>7.2961373390557943E-2</v>
      </c>
      <c r="I641" s="558">
        <f t="shared" si="144"/>
        <v>3340</v>
      </c>
      <c r="J641" s="814">
        <f t="shared" si="145"/>
        <v>2.0120481927710845</v>
      </c>
    </row>
    <row r="642" spans="1:10" x14ac:dyDescent="0.2">
      <c r="A642" s="77" t="s">
        <v>172</v>
      </c>
      <c r="B642" s="90">
        <v>6300</v>
      </c>
      <c r="C642" s="90">
        <v>-1800</v>
      </c>
      <c r="D642" s="558"/>
      <c r="E642" s="90">
        <f t="shared" si="146"/>
        <v>4500</v>
      </c>
      <c r="F642" s="558">
        <v>6600</v>
      </c>
      <c r="G642" s="558">
        <f t="shared" si="142"/>
        <v>300</v>
      </c>
      <c r="H642" s="814">
        <f t="shared" si="143"/>
        <v>4.7619047619047616E-2</v>
      </c>
      <c r="I642" s="558">
        <f t="shared" si="144"/>
        <v>2100</v>
      </c>
      <c r="J642" s="814">
        <f t="shared" si="145"/>
        <v>0.46666666666666667</v>
      </c>
    </row>
    <row r="643" spans="1:10" x14ac:dyDescent="0.2">
      <c r="A643" s="552" t="s">
        <v>125</v>
      </c>
      <c r="B643" s="90"/>
      <c r="C643" s="90"/>
      <c r="D643" s="558">
        <f>D644</f>
        <v>1000</v>
      </c>
      <c r="E643" s="90">
        <f t="shared" si="146"/>
        <v>1000</v>
      </c>
      <c r="F643" s="558"/>
      <c r="G643" s="558">
        <f t="shared" si="142"/>
        <v>0</v>
      </c>
      <c r="H643" s="814"/>
      <c r="I643" s="558">
        <f t="shared" si="144"/>
        <v>-1000</v>
      </c>
      <c r="J643" s="814">
        <f t="shared" si="145"/>
        <v>-1</v>
      </c>
    </row>
    <row r="644" spans="1:10" x14ac:dyDescent="0.2">
      <c r="A644" s="516" t="s">
        <v>174</v>
      </c>
      <c r="B644" s="90"/>
      <c r="C644" s="90"/>
      <c r="D644" s="558">
        <v>1000</v>
      </c>
      <c r="E644" s="90">
        <f t="shared" si="146"/>
        <v>1000</v>
      </c>
      <c r="F644" s="558"/>
      <c r="G644" s="558">
        <f t="shared" si="142"/>
        <v>0</v>
      </c>
      <c r="H644" s="814"/>
      <c r="I644" s="558">
        <f t="shared" si="144"/>
        <v>-1000</v>
      </c>
      <c r="J644" s="814">
        <f t="shared" si="145"/>
        <v>-1</v>
      </c>
    </row>
    <row r="645" spans="1:10" x14ac:dyDescent="0.2">
      <c r="A645" s="77"/>
      <c r="B645" s="90"/>
      <c r="C645" s="90"/>
      <c r="D645" s="558"/>
      <c r="E645" s="90">
        <f t="shared" si="146"/>
        <v>0</v>
      </c>
      <c r="F645" s="558"/>
      <c r="G645" s="558">
        <f t="shared" si="142"/>
        <v>0</v>
      </c>
      <c r="H645" s="814"/>
      <c r="I645" s="558">
        <f t="shared" si="144"/>
        <v>0</v>
      </c>
      <c r="J645" s="814"/>
    </row>
    <row r="646" spans="1:10" x14ac:dyDescent="0.2">
      <c r="A646" s="76" t="s">
        <v>1124</v>
      </c>
      <c r="B646" s="88">
        <f>B647</f>
        <v>82000</v>
      </c>
      <c r="C646" s="88">
        <f>C647</f>
        <v>1352</v>
      </c>
      <c r="D646" s="549">
        <f>D647</f>
        <v>-3000</v>
      </c>
      <c r="E646" s="88">
        <f t="shared" si="146"/>
        <v>80352</v>
      </c>
      <c r="F646" s="549">
        <f>F647</f>
        <v>83000</v>
      </c>
      <c r="G646" s="549">
        <f t="shared" ref="G646:G709" si="147">F646-B646</f>
        <v>1000</v>
      </c>
      <c r="H646" s="815">
        <f t="shared" ref="H646:H709" si="148">G646/B646</f>
        <v>1.2195121951219513E-2</v>
      </c>
      <c r="I646" s="549">
        <f t="shared" ref="I646:I709" si="149">F646-E646</f>
        <v>2648</v>
      </c>
      <c r="J646" s="815">
        <f t="shared" ref="J646:J709" si="150">I646/E646</f>
        <v>3.2954998008761449E-2</v>
      </c>
    </row>
    <row r="647" spans="1:10" x14ac:dyDescent="0.2">
      <c r="A647" s="76" t="s">
        <v>134</v>
      </c>
      <c r="B647" s="88">
        <f>SUM(B648:B653)</f>
        <v>82000</v>
      </c>
      <c r="C647" s="88">
        <f>SUM(C648:C653)</f>
        <v>1352</v>
      </c>
      <c r="D647" s="549">
        <f>SUM(D648:D653)</f>
        <v>-3000</v>
      </c>
      <c r="E647" s="88">
        <f t="shared" si="146"/>
        <v>80352</v>
      </c>
      <c r="F647" s="549">
        <f>SUM(F648:F653)</f>
        <v>83000</v>
      </c>
      <c r="G647" s="549">
        <f t="shared" si="147"/>
        <v>1000</v>
      </c>
      <c r="H647" s="815">
        <f t="shared" si="148"/>
        <v>1.2195121951219513E-2</v>
      </c>
      <c r="I647" s="549">
        <f t="shared" si="149"/>
        <v>2648</v>
      </c>
      <c r="J647" s="815">
        <f t="shared" si="150"/>
        <v>3.2954998008761449E-2</v>
      </c>
    </row>
    <row r="648" spans="1:10" x14ac:dyDescent="0.2">
      <c r="A648" s="77" t="s">
        <v>189</v>
      </c>
      <c r="B648" s="90">
        <v>13000</v>
      </c>
      <c r="C648" s="90">
        <v>5000</v>
      </c>
      <c r="D648" s="558"/>
      <c r="E648" s="90">
        <f t="shared" si="146"/>
        <v>18000</v>
      </c>
      <c r="F648" s="558">
        <v>13000</v>
      </c>
      <c r="G648" s="558">
        <f t="shared" si="147"/>
        <v>0</v>
      </c>
      <c r="H648" s="814">
        <f t="shared" si="148"/>
        <v>0</v>
      </c>
      <c r="I648" s="558">
        <f t="shared" si="149"/>
        <v>-5000</v>
      </c>
      <c r="J648" s="814">
        <f t="shared" si="150"/>
        <v>-0.27777777777777779</v>
      </c>
    </row>
    <row r="649" spans="1:10" x14ac:dyDescent="0.2">
      <c r="A649" s="79" t="s">
        <v>182</v>
      </c>
      <c r="B649" s="89">
        <v>52000</v>
      </c>
      <c r="C649" s="89"/>
      <c r="D649" s="553"/>
      <c r="E649" s="90">
        <f t="shared" si="146"/>
        <v>52000</v>
      </c>
      <c r="F649" s="553">
        <v>53000</v>
      </c>
      <c r="G649" s="553">
        <f t="shared" si="147"/>
        <v>1000</v>
      </c>
      <c r="H649" s="819">
        <f t="shared" si="148"/>
        <v>1.9230769230769232E-2</v>
      </c>
      <c r="I649" s="553">
        <f t="shared" si="149"/>
        <v>1000</v>
      </c>
      <c r="J649" s="819">
        <f t="shared" si="150"/>
        <v>1.9230769230769232E-2</v>
      </c>
    </row>
    <row r="650" spans="1:10" ht="25.5" x14ac:dyDescent="0.2">
      <c r="A650" s="79" t="s">
        <v>312</v>
      </c>
      <c r="B650" s="89">
        <v>1300</v>
      </c>
      <c r="C650" s="89"/>
      <c r="D650" s="553"/>
      <c r="E650" s="90">
        <f t="shared" si="146"/>
        <v>1300</v>
      </c>
      <c r="F650" s="553">
        <v>1300</v>
      </c>
      <c r="G650" s="553">
        <f t="shared" si="147"/>
        <v>0</v>
      </c>
      <c r="H650" s="819">
        <f t="shared" si="148"/>
        <v>0</v>
      </c>
      <c r="I650" s="553">
        <f t="shared" si="149"/>
        <v>0</v>
      </c>
      <c r="J650" s="819">
        <f t="shared" si="150"/>
        <v>0</v>
      </c>
    </row>
    <row r="651" spans="1:10" x14ac:dyDescent="0.2">
      <c r="A651" s="79" t="s">
        <v>168</v>
      </c>
      <c r="B651" s="89">
        <v>5500</v>
      </c>
      <c r="C651" s="89">
        <v>-1648</v>
      </c>
      <c r="D651" s="553">
        <v>-3000</v>
      </c>
      <c r="E651" s="90">
        <f t="shared" si="146"/>
        <v>852</v>
      </c>
      <c r="F651" s="553">
        <v>5500</v>
      </c>
      <c r="G651" s="553">
        <f t="shared" si="147"/>
        <v>0</v>
      </c>
      <c r="H651" s="819">
        <f t="shared" si="148"/>
        <v>0</v>
      </c>
      <c r="I651" s="553">
        <f t="shared" si="149"/>
        <v>4648</v>
      </c>
      <c r="J651" s="819">
        <f t="shared" si="150"/>
        <v>5.455399061032864</v>
      </c>
    </row>
    <row r="652" spans="1:10" x14ac:dyDescent="0.2">
      <c r="A652" s="79" t="s">
        <v>192</v>
      </c>
      <c r="B652" s="89">
        <v>5200</v>
      </c>
      <c r="C652" s="89">
        <v>-2000</v>
      </c>
      <c r="D652" s="553"/>
      <c r="E652" s="90">
        <f t="shared" si="146"/>
        <v>3200</v>
      </c>
      <c r="F652" s="553">
        <v>5200</v>
      </c>
      <c r="G652" s="553">
        <f t="shared" si="147"/>
        <v>0</v>
      </c>
      <c r="H652" s="819">
        <f t="shared" si="148"/>
        <v>0</v>
      </c>
      <c r="I652" s="553">
        <f t="shared" si="149"/>
        <v>2000</v>
      </c>
      <c r="J652" s="819">
        <f t="shared" si="150"/>
        <v>0.625</v>
      </c>
    </row>
    <row r="653" spans="1:10" x14ac:dyDescent="0.2">
      <c r="A653" s="77" t="s">
        <v>287</v>
      </c>
      <c r="B653" s="90">
        <v>5000</v>
      </c>
      <c r="C653" s="90"/>
      <c r="D653" s="558"/>
      <c r="E653" s="90">
        <f t="shared" si="146"/>
        <v>5000</v>
      </c>
      <c r="F653" s="558">
        <v>5000</v>
      </c>
      <c r="G653" s="558">
        <f t="shared" si="147"/>
        <v>0</v>
      </c>
      <c r="H653" s="814">
        <f t="shared" si="148"/>
        <v>0</v>
      </c>
      <c r="I653" s="558">
        <f t="shared" si="149"/>
        <v>0</v>
      </c>
      <c r="J653" s="814">
        <f t="shared" si="150"/>
        <v>0</v>
      </c>
    </row>
    <row r="654" spans="1:10" x14ac:dyDescent="0.2">
      <c r="A654" s="80"/>
      <c r="B654" s="94"/>
      <c r="C654" s="94"/>
      <c r="D654" s="553"/>
      <c r="E654" s="94">
        <f t="shared" si="146"/>
        <v>0</v>
      </c>
      <c r="F654" s="94"/>
      <c r="G654" s="94">
        <f t="shared" si="147"/>
        <v>0</v>
      </c>
      <c r="H654" s="531"/>
      <c r="I654" s="94">
        <f t="shared" si="149"/>
        <v>0</v>
      </c>
      <c r="J654" s="531"/>
    </row>
    <row r="655" spans="1:10" x14ac:dyDescent="0.2">
      <c r="A655" s="78" t="s">
        <v>1116</v>
      </c>
      <c r="B655" s="87">
        <f>SUM(B657,B675,B685,B695)</f>
        <v>769195</v>
      </c>
      <c r="C655" s="87">
        <f>SUM(C657,C675,C685,C695)</f>
        <v>-103200</v>
      </c>
      <c r="D655" s="548">
        <f>SUM(D657,D675,D685,D695)</f>
        <v>-33800</v>
      </c>
      <c r="E655" s="87">
        <f t="shared" si="146"/>
        <v>632195</v>
      </c>
      <c r="F655" s="548">
        <f>SUM(F657,F675,F685,F695)</f>
        <v>772655</v>
      </c>
      <c r="G655" s="548">
        <f t="shared" si="147"/>
        <v>3460</v>
      </c>
      <c r="H655" s="818">
        <f t="shared" si="148"/>
        <v>4.498209166726253E-3</v>
      </c>
      <c r="I655" s="548">
        <f t="shared" si="149"/>
        <v>140460</v>
      </c>
      <c r="J655" s="818">
        <f t="shared" si="150"/>
        <v>0.22217828359920594</v>
      </c>
    </row>
    <row r="656" spans="1:10" x14ac:dyDescent="0.2">
      <c r="A656" s="80"/>
      <c r="B656" s="94"/>
      <c r="C656" s="94"/>
      <c r="D656" s="551"/>
      <c r="E656" s="94">
        <f t="shared" si="146"/>
        <v>0</v>
      </c>
      <c r="F656" s="551"/>
      <c r="G656" s="551">
        <f t="shared" si="147"/>
        <v>0</v>
      </c>
      <c r="H656" s="822"/>
      <c r="I656" s="551">
        <f t="shared" si="149"/>
        <v>0</v>
      </c>
      <c r="J656" s="822"/>
    </row>
    <row r="657" spans="1:10" x14ac:dyDescent="0.2">
      <c r="A657" s="76" t="s">
        <v>1117</v>
      </c>
      <c r="B657" s="88">
        <f>B662+B665+B668+B670+B658+B660</f>
        <v>413855</v>
      </c>
      <c r="C657" s="88">
        <f>C662+C665+C668+C670+C658+C660</f>
        <v>-46700</v>
      </c>
      <c r="D657" s="549">
        <f>D662+D665+D668+D670+D658+D660</f>
        <v>-26900</v>
      </c>
      <c r="E657" s="88">
        <f t="shared" si="146"/>
        <v>340255</v>
      </c>
      <c r="F657" s="549">
        <f>F662+F665+F668+F670+F658+F660</f>
        <v>417315</v>
      </c>
      <c r="G657" s="549">
        <f t="shared" si="147"/>
        <v>3460</v>
      </c>
      <c r="H657" s="815">
        <f t="shared" si="148"/>
        <v>8.3604160877602061E-3</v>
      </c>
      <c r="I657" s="549">
        <f t="shared" si="149"/>
        <v>77060</v>
      </c>
      <c r="J657" s="815">
        <f t="shared" si="150"/>
        <v>0.2264772009228373</v>
      </c>
    </row>
    <row r="658" spans="1:10" x14ac:dyDescent="0.2">
      <c r="A658" s="76" t="s">
        <v>129</v>
      </c>
      <c r="B658" s="88">
        <f>B659</f>
        <v>23000</v>
      </c>
      <c r="C658" s="88">
        <f>C659</f>
        <v>-6500</v>
      </c>
      <c r="D658" s="549">
        <f>D659</f>
        <v>-10000</v>
      </c>
      <c r="E658" s="88">
        <f t="shared" si="146"/>
        <v>6500</v>
      </c>
      <c r="F658" s="549">
        <f>F659</f>
        <v>23000</v>
      </c>
      <c r="G658" s="549">
        <f t="shared" si="147"/>
        <v>0</v>
      </c>
      <c r="H658" s="815">
        <f t="shared" si="148"/>
        <v>0</v>
      </c>
      <c r="I658" s="549">
        <f t="shared" si="149"/>
        <v>16500</v>
      </c>
      <c r="J658" s="815">
        <f t="shared" si="150"/>
        <v>2.5384615384615383</v>
      </c>
    </row>
    <row r="659" spans="1:10" x14ac:dyDescent="0.2">
      <c r="A659" s="77" t="s">
        <v>178</v>
      </c>
      <c r="B659" s="90">
        <v>23000</v>
      </c>
      <c r="C659" s="90">
        <v>-6500</v>
      </c>
      <c r="D659" s="558">
        <v>-10000</v>
      </c>
      <c r="E659" s="90">
        <f t="shared" si="146"/>
        <v>6500</v>
      </c>
      <c r="F659" s="558">
        <v>23000</v>
      </c>
      <c r="G659" s="558">
        <f t="shared" si="147"/>
        <v>0</v>
      </c>
      <c r="H659" s="814">
        <f t="shared" si="148"/>
        <v>0</v>
      </c>
      <c r="I659" s="558">
        <f t="shared" si="149"/>
        <v>16500</v>
      </c>
      <c r="J659" s="814">
        <f t="shared" si="150"/>
        <v>2.5384615384615383</v>
      </c>
    </row>
    <row r="660" spans="1:10" x14ac:dyDescent="0.2">
      <c r="A660" s="76" t="s">
        <v>126</v>
      </c>
      <c r="B660" s="88">
        <f>B661</f>
        <v>26000</v>
      </c>
      <c r="C660" s="88">
        <f>C661</f>
        <v>-7000</v>
      </c>
      <c r="D660" s="549">
        <f>D661</f>
        <v>-10000</v>
      </c>
      <c r="E660" s="88">
        <f t="shared" si="146"/>
        <v>9000</v>
      </c>
      <c r="F660" s="549">
        <f>F661</f>
        <v>26000</v>
      </c>
      <c r="G660" s="549">
        <f t="shared" si="147"/>
        <v>0</v>
      </c>
      <c r="H660" s="815">
        <f t="shared" si="148"/>
        <v>0</v>
      </c>
      <c r="I660" s="549">
        <f t="shared" si="149"/>
        <v>17000</v>
      </c>
      <c r="J660" s="815">
        <f t="shared" si="150"/>
        <v>1.8888888888888888</v>
      </c>
    </row>
    <row r="661" spans="1:10" x14ac:dyDescent="0.2">
      <c r="A661" s="77" t="s">
        <v>285</v>
      </c>
      <c r="B661" s="90">
        <v>26000</v>
      </c>
      <c r="C661" s="90">
        <v>-7000</v>
      </c>
      <c r="D661" s="558">
        <v>-10000</v>
      </c>
      <c r="E661" s="90">
        <f t="shared" si="146"/>
        <v>9000</v>
      </c>
      <c r="F661" s="558">
        <v>26000</v>
      </c>
      <c r="G661" s="558">
        <f t="shared" si="147"/>
        <v>0</v>
      </c>
      <c r="H661" s="814">
        <f t="shared" si="148"/>
        <v>0</v>
      </c>
      <c r="I661" s="558">
        <f t="shared" si="149"/>
        <v>17000</v>
      </c>
      <c r="J661" s="814">
        <f t="shared" si="150"/>
        <v>1.8888888888888888</v>
      </c>
    </row>
    <row r="662" spans="1:10" x14ac:dyDescent="0.2">
      <c r="A662" s="76" t="s">
        <v>132</v>
      </c>
      <c r="B662" s="88">
        <f>B663+B664</f>
        <v>3025</v>
      </c>
      <c r="C662" s="88">
        <f>C663+C664</f>
        <v>0</v>
      </c>
      <c r="D662" s="549">
        <f>D663+D664</f>
        <v>1500</v>
      </c>
      <c r="E662" s="88">
        <f t="shared" si="146"/>
        <v>4525</v>
      </c>
      <c r="F662" s="549">
        <f>F663+F664</f>
        <v>3025</v>
      </c>
      <c r="G662" s="549">
        <f t="shared" si="147"/>
        <v>0</v>
      </c>
      <c r="H662" s="815">
        <f t="shared" si="148"/>
        <v>0</v>
      </c>
      <c r="I662" s="549">
        <f t="shared" si="149"/>
        <v>-1500</v>
      </c>
      <c r="J662" s="815">
        <f t="shared" si="150"/>
        <v>-0.33149171270718231</v>
      </c>
    </row>
    <row r="663" spans="1:10" x14ac:dyDescent="0.2">
      <c r="A663" s="77" t="s">
        <v>179</v>
      </c>
      <c r="B663" s="90">
        <v>1270</v>
      </c>
      <c r="C663" s="90"/>
      <c r="D663" s="558">
        <v>450</v>
      </c>
      <c r="E663" s="90">
        <f t="shared" si="146"/>
        <v>1720</v>
      </c>
      <c r="F663" s="558">
        <v>1270</v>
      </c>
      <c r="G663" s="558">
        <f t="shared" si="147"/>
        <v>0</v>
      </c>
      <c r="H663" s="814">
        <f t="shared" si="148"/>
        <v>0</v>
      </c>
      <c r="I663" s="558">
        <f t="shared" si="149"/>
        <v>-450</v>
      </c>
      <c r="J663" s="814">
        <f t="shared" si="150"/>
        <v>-0.26162790697674421</v>
      </c>
    </row>
    <row r="664" spans="1:10" x14ac:dyDescent="0.2">
      <c r="A664" s="77" t="s">
        <v>163</v>
      </c>
      <c r="B664" s="90">
        <v>1755</v>
      </c>
      <c r="C664" s="90"/>
      <c r="D664" s="558">
        <v>1050</v>
      </c>
      <c r="E664" s="90">
        <f t="shared" si="146"/>
        <v>2805</v>
      </c>
      <c r="F664" s="558">
        <v>1755</v>
      </c>
      <c r="G664" s="558">
        <f t="shared" si="147"/>
        <v>0</v>
      </c>
      <c r="H664" s="814">
        <f t="shared" si="148"/>
        <v>0</v>
      </c>
      <c r="I664" s="558">
        <f t="shared" si="149"/>
        <v>-1050</v>
      </c>
      <c r="J664" s="814">
        <f t="shared" si="150"/>
        <v>-0.37433155080213903</v>
      </c>
    </row>
    <row r="665" spans="1:10" x14ac:dyDescent="0.2">
      <c r="A665" s="76" t="s">
        <v>124</v>
      </c>
      <c r="B665" s="88">
        <f>SUM(B666:B667)</f>
        <v>190830</v>
      </c>
      <c r="C665" s="88">
        <f>SUM(C666:C667)</f>
        <v>-14500</v>
      </c>
      <c r="D665" s="549">
        <f>SUM(D666:D667)</f>
        <v>-14500</v>
      </c>
      <c r="E665" s="88">
        <f t="shared" si="146"/>
        <v>161830</v>
      </c>
      <c r="F665" s="549">
        <f>SUM(F666:F667)</f>
        <v>193850</v>
      </c>
      <c r="G665" s="549">
        <f t="shared" si="147"/>
        <v>3020</v>
      </c>
      <c r="H665" s="815">
        <f t="shared" si="148"/>
        <v>1.5825603940680187E-2</v>
      </c>
      <c r="I665" s="549">
        <f t="shared" si="149"/>
        <v>32020</v>
      </c>
      <c r="J665" s="815">
        <f t="shared" si="150"/>
        <v>0.19786195390224309</v>
      </c>
    </row>
    <row r="666" spans="1:10" x14ac:dyDescent="0.2">
      <c r="A666" s="77" t="s">
        <v>162</v>
      </c>
      <c r="B666" s="90">
        <v>137280</v>
      </c>
      <c r="C666" s="90">
        <v>-14500</v>
      </c>
      <c r="D666" s="558">
        <v>-14500</v>
      </c>
      <c r="E666" s="90">
        <f t="shared" si="146"/>
        <v>108280</v>
      </c>
      <c r="F666" s="558">
        <v>140300</v>
      </c>
      <c r="G666" s="558">
        <f t="shared" si="147"/>
        <v>3020</v>
      </c>
      <c r="H666" s="814">
        <f t="shared" si="148"/>
        <v>2.19988344988345E-2</v>
      </c>
      <c r="I666" s="558">
        <f t="shared" si="149"/>
        <v>32020</v>
      </c>
      <c r="J666" s="814">
        <f t="shared" si="150"/>
        <v>0.29571481344661987</v>
      </c>
    </row>
    <row r="667" spans="1:10" x14ac:dyDescent="0.2">
      <c r="A667" s="77" t="s">
        <v>163</v>
      </c>
      <c r="B667" s="90">
        <v>53550</v>
      </c>
      <c r="C667" s="90"/>
      <c r="D667" s="558"/>
      <c r="E667" s="90">
        <f t="shared" si="146"/>
        <v>53550</v>
      </c>
      <c r="F667" s="558">
        <v>53550</v>
      </c>
      <c r="G667" s="558">
        <f t="shared" si="147"/>
        <v>0</v>
      </c>
      <c r="H667" s="814">
        <f t="shared" si="148"/>
        <v>0</v>
      </c>
      <c r="I667" s="558">
        <f t="shared" si="149"/>
        <v>0</v>
      </c>
      <c r="J667" s="814">
        <f t="shared" si="150"/>
        <v>0</v>
      </c>
    </row>
    <row r="668" spans="1:10" x14ac:dyDescent="0.2">
      <c r="A668" s="76" t="s">
        <v>131</v>
      </c>
      <c r="B668" s="88">
        <f>B669</f>
        <v>50000</v>
      </c>
      <c r="C668" s="88">
        <f>C669</f>
        <v>0</v>
      </c>
      <c r="D668" s="549">
        <f>D669</f>
        <v>6000</v>
      </c>
      <c r="E668" s="88">
        <f t="shared" si="146"/>
        <v>56000</v>
      </c>
      <c r="F668" s="549">
        <f>F669</f>
        <v>50000</v>
      </c>
      <c r="G668" s="549">
        <f t="shared" si="147"/>
        <v>0</v>
      </c>
      <c r="H668" s="815">
        <f t="shared" si="148"/>
        <v>0</v>
      </c>
      <c r="I668" s="549">
        <f t="shared" si="149"/>
        <v>-6000</v>
      </c>
      <c r="J668" s="815">
        <f t="shared" si="150"/>
        <v>-0.10714285714285714</v>
      </c>
    </row>
    <row r="669" spans="1:10" x14ac:dyDescent="0.2">
      <c r="A669" s="79" t="s">
        <v>188</v>
      </c>
      <c r="B669" s="89">
        <v>50000</v>
      </c>
      <c r="C669" s="89"/>
      <c r="D669" s="553">
        <v>6000</v>
      </c>
      <c r="E669" s="89">
        <f t="shared" si="146"/>
        <v>56000</v>
      </c>
      <c r="F669" s="553">
        <v>50000</v>
      </c>
      <c r="G669" s="553">
        <f t="shared" si="147"/>
        <v>0</v>
      </c>
      <c r="H669" s="819">
        <f t="shared" si="148"/>
        <v>0</v>
      </c>
      <c r="I669" s="553">
        <f t="shared" si="149"/>
        <v>-6000</v>
      </c>
      <c r="J669" s="819">
        <f t="shared" si="150"/>
        <v>-0.10714285714285714</v>
      </c>
    </row>
    <row r="670" spans="1:10" x14ac:dyDescent="0.2">
      <c r="A670" s="76" t="s">
        <v>125</v>
      </c>
      <c r="B670" s="88">
        <f>SUM(B671:B673)</f>
        <v>121000</v>
      </c>
      <c r="C670" s="88">
        <f>SUM(C671:C673)</f>
        <v>-18700</v>
      </c>
      <c r="D670" s="549">
        <f>SUM(D671:D673)</f>
        <v>100</v>
      </c>
      <c r="E670" s="88">
        <f t="shared" si="146"/>
        <v>102400</v>
      </c>
      <c r="F670" s="549">
        <f>SUM(F671:F673)</f>
        <v>121440</v>
      </c>
      <c r="G670" s="549">
        <f t="shared" si="147"/>
        <v>440</v>
      </c>
      <c r="H670" s="815">
        <f t="shared" si="148"/>
        <v>3.6363636363636364E-3</v>
      </c>
      <c r="I670" s="549">
        <f t="shared" si="149"/>
        <v>19040</v>
      </c>
      <c r="J670" s="815">
        <f t="shared" si="150"/>
        <v>0.18593750000000001</v>
      </c>
    </row>
    <row r="671" spans="1:10" x14ac:dyDescent="0.2">
      <c r="A671" s="77" t="s">
        <v>186</v>
      </c>
      <c r="B671" s="90">
        <v>35000</v>
      </c>
      <c r="C671" s="90"/>
      <c r="D671" s="558">
        <v>10100</v>
      </c>
      <c r="E671" s="90">
        <f t="shared" si="146"/>
        <v>45100</v>
      </c>
      <c r="F671" s="558">
        <v>38440</v>
      </c>
      <c r="G671" s="558">
        <f t="shared" si="147"/>
        <v>3440</v>
      </c>
      <c r="H671" s="814">
        <f t="shared" si="148"/>
        <v>9.8285714285714282E-2</v>
      </c>
      <c r="I671" s="558">
        <f t="shared" si="149"/>
        <v>-6660</v>
      </c>
      <c r="J671" s="814">
        <f t="shared" si="150"/>
        <v>-0.14767184035476719</v>
      </c>
    </row>
    <row r="672" spans="1:10" x14ac:dyDescent="0.2">
      <c r="A672" s="79" t="s">
        <v>177</v>
      </c>
      <c r="B672" s="89">
        <v>40000</v>
      </c>
      <c r="C672" s="89"/>
      <c r="D672" s="553"/>
      <c r="E672" s="90">
        <f t="shared" si="146"/>
        <v>40000</v>
      </c>
      <c r="F672" s="553">
        <v>40000</v>
      </c>
      <c r="G672" s="553">
        <f t="shared" si="147"/>
        <v>0</v>
      </c>
      <c r="H672" s="819">
        <f t="shared" si="148"/>
        <v>0</v>
      </c>
      <c r="I672" s="553">
        <f t="shared" si="149"/>
        <v>0</v>
      </c>
      <c r="J672" s="819">
        <f t="shared" si="150"/>
        <v>0</v>
      </c>
    </row>
    <row r="673" spans="1:10" x14ac:dyDescent="0.2">
      <c r="A673" s="77" t="s">
        <v>370</v>
      </c>
      <c r="B673" s="90">
        <v>46000</v>
      </c>
      <c r="C673" s="90">
        <v>-18700</v>
      </c>
      <c r="D673" s="558">
        <v>-10000</v>
      </c>
      <c r="E673" s="90">
        <f t="shared" si="146"/>
        <v>17300</v>
      </c>
      <c r="F673" s="558">
        <v>43000</v>
      </c>
      <c r="G673" s="558">
        <f t="shared" si="147"/>
        <v>-3000</v>
      </c>
      <c r="H673" s="814">
        <f t="shared" si="148"/>
        <v>-6.5217391304347824E-2</v>
      </c>
      <c r="I673" s="558">
        <f t="shared" si="149"/>
        <v>25700</v>
      </c>
      <c r="J673" s="814">
        <f t="shared" si="150"/>
        <v>1.4855491329479769</v>
      </c>
    </row>
    <row r="674" spans="1:10" x14ac:dyDescent="0.2">
      <c r="A674" s="79"/>
      <c r="B674" s="89"/>
      <c r="C674" s="89"/>
      <c r="D674" s="553"/>
      <c r="E674" s="89">
        <f t="shared" si="146"/>
        <v>0</v>
      </c>
      <c r="F674" s="553"/>
      <c r="G674" s="553">
        <f t="shared" si="147"/>
        <v>0</v>
      </c>
      <c r="H674" s="819"/>
      <c r="I674" s="553">
        <f t="shared" si="149"/>
        <v>0</v>
      </c>
      <c r="J674" s="819"/>
    </row>
    <row r="675" spans="1:10" x14ac:dyDescent="0.2">
      <c r="A675" s="130" t="s">
        <v>1118</v>
      </c>
      <c r="B675" s="88">
        <f>B676+B681</f>
        <v>106770</v>
      </c>
      <c r="C675" s="88">
        <f>C676+C681</f>
        <v>-46500</v>
      </c>
      <c r="D675" s="549">
        <f>D676+D681</f>
        <v>-7500</v>
      </c>
      <c r="E675" s="88">
        <f t="shared" si="146"/>
        <v>52770</v>
      </c>
      <c r="F675" s="549">
        <f>F676+F681</f>
        <v>106770</v>
      </c>
      <c r="G675" s="549">
        <f t="shared" si="147"/>
        <v>0</v>
      </c>
      <c r="H675" s="815">
        <f t="shared" si="148"/>
        <v>0</v>
      </c>
      <c r="I675" s="549">
        <f t="shared" si="149"/>
        <v>54000</v>
      </c>
      <c r="J675" s="815">
        <f t="shared" si="150"/>
        <v>1.0233086981239341</v>
      </c>
    </row>
    <row r="676" spans="1:10" x14ac:dyDescent="0.2">
      <c r="A676" s="76" t="s">
        <v>128</v>
      </c>
      <c r="B676" s="88">
        <f>SUM(B677:B680)</f>
        <v>91600</v>
      </c>
      <c r="C676" s="88">
        <f>SUM(C677:C680)</f>
        <v>-43300</v>
      </c>
      <c r="D676" s="549">
        <f>SUM(D677:D680)</f>
        <v>-5500</v>
      </c>
      <c r="E676" s="88">
        <f t="shared" si="146"/>
        <v>42800</v>
      </c>
      <c r="F676" s="549">
        <f>SUM(F677:F680)</f>
        <v>91390</v>
      </c>
      <c r="G676" s="549">
        <f t="shared" si="147"/>
        <v>-210</v>
      </c>
      <c r="H676" s="815">
        <f t="shared" si="148"/>
        <v>-2.2925764192139736E-3</v>
      </c>
      <c r="I676" s="549">
        <f t="shared" si="149"/>
        <v>48590</v>
      </c>
      <c r="J676" s="815">
        <f t="shared" si="150"/>
        <v>1.1352803738317756</v>
      </c>
    </row>
    <row r="677" spans="1:10" x14ac:dyDescent="0.2">
      <c r="A677" s="79" t="s">
        <v>173</v>
      </c>
      <c r="B677" s="89">
        <v>27000</v>
      </c>
      <c r="C677" s="89">
        <v>-6800</v>
      </c>
      <c r="D677" s="553">
        <v>-1000</v>
      </c>
      <c r="E677" s="89">
        <f t="shared" si="146"/>
        <v>19200</v>
      </c>
      <c r="F677" s="553">
        <v>27000</v>
      </c>
      <c r="G677" s="553">
        <f t="shared" si="147"/>
        <v>0</v>
      </c>
      <c r="H677" s="819">
        <f t="shared" si="148"/>
        <v>0</v>
      </c>
      <c r="I677" s="553">
        <f t="shared" si="149"/>
        <v>7800</v>
      </c>
      <c r="J677" s="819">
        <f t="shared" si="150"/>
        <v>0.40625</v>
      </c>
    </row>
    <row r="678" spans="1:10" x14ac:dyDescent="0.2">
      <c r="A678" s="79" t="s">
        <v>170</v>
      </c>
      <c r="B678" s="89">
        <v>25900</v>
      </c>
      <c r="C678" s="89">
        <v>-15000</v>
      </c>
      <c r="D678" s="553">
        <v>-2000</v>
      </c>
      <c r="E678" s="89">
        <f t="shared" si="146"/>
        <v>8900</v>
      </c>
      <c r="F678" s="553">
        <v>25690</v>
      </c>
      <c r="G678" s="553">
        <f t="shared" si="147"/>
        <v>-210</v>
      </c>
      <c r="H678" s="819">
        <f t="shared" si="148"/>
        <v>-8.1081081081081086E-3</v>
      </c>
      <c r="I678" s="553">
        <f t="shared" si="149"/>
        <v>16790</v>
      </c>
      <c r="J678" s="819">
        <f t="shared" si="150"/>
        <v>1.8865168539325843</v>
      </c>
    </row>
    <row r="679" spans="1:10" ht="25.5" x14ac:dyDescent="0.2">
      <c r="A679" s="79" t="s">
        <v>175</v>
      </c>
      <c r="B679" s="89">
        <v>36000</v>
      </c>
      <c r="C679" s="89">
        <v>-20000</v>
      </c>
      <c r="D679" s="553">
        <v>-2200</v>
      </c>
      <c r="E679" s="89">
        <f t="shared" si="146"/>
        <v>13800</v>
      </c>
      <c r="F679" s="553">
        <v>36000</v>
      </c>
      <c r="G679" s="553">
        <f t="shared" si="147"/>
        <v>0</v>
      </c>
      <c r="H679" s="819">
        <f t="shared" si="148"/>
        <v>0</v>
      </c>
      <c r="I679" s="553">
        <f t="shared" si="149"/>
        <v>22200</v>
      </c>
      <c r="J679" s="819">
        <f t="shared" si="150"/>
        <v>1.6086956521739131</v>
      </c>
    </row>
    <row r="680" spans="1:10" ht="25.5" x14ac:dyDescent="0.2">
      <c r="A680" s="79" t="s">
        <v>169</v>
      </c>
      <c r="B680" s="89">
        <v>2700</v>
      </c>
      <c r="C680" s="89">
        <v>-1500</v>
      </c>
      <c r="D680" s="553">
        <v>-300</v>
      </c>
      <c r="E680" s="89">
        <f t="shared" si="146"/>
        <v>900</v>
      </c>
      <c r="F680" s="553">
        <v>2700</v>
      </c>
      <c r="G680" s="553">
        <f t="shared" si="147"/>
        <v>0</v>
      </c>
      <c r="H680" s="819">
        <f t="shared" si="148"/>
        <v>0</v>
      </c>
      <c r="I680" s="553">
        <f t="shared" si="149"/>
        <v>1800</v>
      </c>
      <c r="J680" s="819">
        <f t="shared" si="150"/>
        <v>2</v>
      </c>
    </row>
    <row r="681" spans="1:10" x14ac:dyDescent="0.2">
      <c r="A681" s="76" t="s">
        <v>124</v>
      </c>
      <c r="B681" s="88">
        <f>SUM(B682:B683)</f>
        <v>15170</v>
      </c>
      <c r="C681" s="88">
        <f>SUM(C682:C683)</f>
        <v>-3200</v>
      </c>
      <c r="D681" s="549">
        <f>SUM(D682:D683)</f>
        <v>-2000</v>
      </c>
      <c r="E681" s="88">
        <f t="shared" si="146"/>
        <v>9970</v>
      </c>
      <c r="F681" s="549">
        <f>SUM(F682:F683)</f>
        <v>15380</v>
      </c>
      <c r="G681" s="549">
        <f t="shared" si="147"/>
        <v>210</v>
      </c>
      <c r="H681" s="815">
        <f t="shared" si="148"/>
        <v>1.3843111404087014E-2</v>
      </c>
      <c r="I681" s="549">
        <f t="shared" si="149"/>
        <v>5410</v>
      </c>
      <c r="J681" s="815">
        <f t="shared" si="150"/>
        <v>0.54262788365095282</v>
      </c>
    </row>
    <row r="682" spans="1:10" x14ac:dyDescent="0.2">
      <c r="A682" s="77" t="s">
        <v>162</v>
      </c>
      <c r="B682" s="90">
        <v>9770</v>
      </c>
      <c r="C682" s="90">
        <v>-2000</v>
      </c>
      <c r="D682" s="558">
        <v>-2000</v>
      </c>
      <c r="E682" s="90">
        <f t="shared" si="146"/>
        <v>5770</v>
      </c>
      <c r="F682" s="558">
        <v>9980</v>
      </c>
      <c r="G682" s="558">
        <f t="shared" si="147"/>
        <v>210</v>
      </c>
      <c r="H682" s="814">
        <f t="shared" si="148"/>
        <v>2.1494370522006142E-2</v>
      </c>
      <c r="I682" s="558">
        <f t="shared" si="149"/>
        <v>4210</v>
      </c>
      <c r="J682" s="814">
        <f t="shared" si="150"/>
        <v>0.72963604852686303</v>
      </c>
    </row>
    <row r="683" spans="1:10" x14ac:dyDescent="0.2">
      <c r="A683" s="77" t="s">
        <v>163</v>
      </c>
      <c r="B683" s="90">
        <v>5400</v>
      </c>
      <c r="C683" s="90">
        <v>-1200</v>
      </c>
      <c r="D683" s="558"/>
      <c r="E683" s="90">
        <f t="shared" si="146"/>
        <v>4200</v>
      </c>
      <c r="F683" s="558">
        <v>5400</v>
      </c>
      <c r="G683" s="558">
        <f t="shared" si="147"/>
        <v>0</v>
      </c>
      <c r="H683" s="814">
        <f t="shared" si="148"/>
        <v>0</v>
      </c>
      <c r="I683" s="558">
        <f t="shared" si="149"/>
        <v>1200</v>
      </c>
      <c r="J683" s="814">
        <f t="shared" si="150"/>
        <v>0.2857142857142857</v>
      </c>
    </row>
    <row r="684" spans="1:10" x14ac:dyDescent="0.2">
      <c r="A684" s="76"/>
      <c r="B684" s="88"/>
      <c r="C684" s="88"/>
      <c r="D684" s="549"/>
      <c r="E684" s="88">
        <f t="shared" si="146"/>
        <v>0</v>
      </c>
      <c r="F684" s="549"/>
      <c r="G684" s="549">
        <f t="shared" si="147"/>
        <v>0</v>
      </c>
      <c r="H684" s="815"/>
      <c r="I684" s="549">
        <f t="shared" si="149"/>
        <v>0</v>
      </c>
      <c r="J684" s="815"/>
    </row>
    <row r="685" spans="1:10" x14ac:dyDescent="0.2">
      <c r="A685" s="76" t="s">
        <v>1119</v>
      </c>
      <c r="B685" s="88">
        <f>B686+B690</f>
        <v>33300</v>
      </c>
      <c r="C685" s="88">
        <f>C686+C690</f>
        <v>-10000</v>
      </c>
      <c r="D685" s="549">
        <f>D686+D690</f>
        <v>600</v>
      </c>
      <c r="E685" s="88">
        <f t="shared" si="146"/>
        <v>23900</v>
      </c>
      <c r="F685" s="549">
        <f>F686+F690</f>
        <v>33300</v>
      </c>
      <c r="G685" s="549">
        <f t="shared" si="147"/>
        <v>0</v>
      </c>
      <c r="H685" s="815">
        <f t="shared" si="148"/>
        <v>0</v>
      </c>
      <c r="I685" s="549">
        <f t="shared" si="149"/>
        <v>9400</v>
      </c>
      <c r="J685" s="815">
        <f t="shared" si="150"/>
        <v>0.39330543933054396</v>
      </c>
    </row>
    <row r="686" spans="1:10" x14ac:dyDescent="0.2">
      <c r="A686" s="76" t="s">
        <v>134</v>
      </c>
      <c r="B686" s="88">
        <f>B687+B688+B689</f>
        <v>21000</v>
      </c>
      <c r="C686" s="88">
        <f>C687+C688+C689</f>
        <v>-7000</v>
      </c>
      <c r="D686" s="549">
        <f>D687+D688+D689</f>
        <v>0</v>
      </c>
      <c r="E686" s="88">
        <f t="shared" si="146"/>
        <v>14000</v>
      </c>
      <c r="F686" s="549">
        <f>F687+F688+F689</f>
        <v>21000</v>
      </c>
      <c r="G686" s="549">
        <f t="shared" si="147"/>
        <v>0</v>
      </c>
      <c r="H686" s="815">
        <f t="shared" si="148"/>
        <v>0</v>
      </c>
      <c r="I686" s="549">
        <f t="shared" si="149"/>
        <v>7000</v>
      </c>
      <c r="J686" s="815">
        <f t="shared" si="150"/>
        <v>0.5</v>
      </c>
    </row>
    <row r="687" spans="1:10" x14ac:dyDescent="0.2">
      <c r="A687" s="79" t="s">
        <v>168</v>
      </c>
      <c r="B687" s="89">
        <v>9000</v>
      </c>
      <c r="C687" s="89">
        <v>-3000</v>
      </c>
      <c r="D687" s="553"/>
      <c r="E687" s="89">
        <f t="shared" si="146"/>
        <v>6000</v>
      </c>
      <c r="F687" s="553">
        <v>9000</v>
      </c>
      <c r="G687" s="553">
        <f t="shared" si="147"/>
        <v>0</v>
      </c>
      <c r="H687" s="819">
        <f t="shared" si="148"/>
        <v>0</v>
      </c>
      <c r="I687" s="553">
        <f t="shared" si="149"/>
        <v>3000</v>
      </c>
      <c r="J687" s="819">
        <f t="shared" si="150"/>
        <v>0.5</v>
      </c>
    </row>
    <row r="688" spans="1:10" x14ac:dyDescent="0.2">
      <c r="A688" s="79" t="s">
        <v>165</v>
      </c>
      <c r="B688" s="89">
        <v>8000</v>
      </c>
      <c r="C688" s="89">
        <v>-2000</v>
      </c>
      <c r="D688" s="553">
        <v>1000</v>
      </c>
      <c r="E688" s="89">
        <f t="shared" si="146"/>
        <v>7000</v>
      </c>
      <c r="F688" s="553">
        <v>8000</v>
      </c>
      <c r="G688" s="553">
        <f t="shared" si="147"/>
        <v>0</v>
      </c>
      <c r="H688" s="819">
        <f t="shared" si="148"/>
        <v>0</v>
      </c>
      <c r="I688" s="553">
        <f t="shared" si="149"/>
        <v>1000</v>
      </c>
      <c r="J688" s="819">
        <f t="shared" si="150"/>
        <v>0.14285714285714285</v>
      </c>
    </row>
    <row r="689" spans="1:10" x14ac:dyDescent="0.2">
      <c r="A689" s="77" t="s">
        <v>287</v>
      </c>
      <c r="B689" s="90">
        <v>4000</v>
      </c>
      <c r="C689" s="90">
        <v>-2000</v>
      </c>
      <c r="D689" s="558">
        <v>-1000</v>
      </c>
      <c r="E689" s="89">
        <f t="shared" si="146"/>
        <v>1000</v>
      </c>
      <c r="F689" s="558">
        <v>4000</v>
      </c>
      <c r="G689" s="558">
        <f t="shared" si="147"/>
        <v>0</v>
      </c>
      <c r="H689" s="814">
        <f t="shared" si="148"/>
        <v>0</v>
      </c>
      <c r="I689" s="558">
        <f t="shared" si="149"/>
        <v>3000</v>
      </c>
      <c r="J689" s="814">
        <f t="shared" si="150"/>
        <v>3</v>
      </c>
    </row>
    <row r="690" spans="1:10" x14ac:dyDescent="0.2">
      <c r="A690" s="76" t="s">
        <v>129</v>
      </c>
      <c r="B690" s="88">
        <f>B691+B692+B693</f>
        <v>12300</v>
      </c>
      <c r="C690" s="88">
        <f>C691+C692+C693</f>
        <v>-3000</v>
      </c>
      <c r="D690" s="549">
        <f>D691+D692+D693</f>
        <v>600</v>
      </c>
      <c r="E690" s="88">
        <f t="shared" si="146"/>
        <v>9900</v>
      </c>
      <c r="F690" s="549">
        <f>F691+F692+F693</f>
        <v>12300</v>
      </c>
      <c r="G690" s="549">
        <f t="shared" si="147"/>
        <v>0</v>
      </c>
      <c r="H690" s="815">
        <f t="shared" si="148"/>
        <v>0</v>
      </c>
      <c r="I690" s="549">
        <f t="shared" si="149"/>
        <v>2400</v>
      </c>
      <c r="J690" s="815">
        <f t="shared" si="150"/>
        <v>0.24242424242424243</v>
      </c>
    </row>
    <row r="691" spans="1:10" x14ac:dyDescent="0.2">
      <c r="A691" s="79" t="s">
        <v>168</v>
      </c>
      <c r="B691" s="89">
        <v>800</v>
      </c>
      <c r="C691" s="89"/>
      <c r="D691" s="553">
        <v>-400</v>
      </c>
      <c r="E691" s="89">
        <f t="shared" si="146"/>
        <v>400</v>
      </c>
      <c r="F691" s="553">
        <v>800</v>
      </c>
      <c r="G691" s="553">
        <f t="shared" si="147"/>
        <v>0</v>
      </c>
      <c r="H691" s="819">
        <f t="shared" si="148"/>
        <v>0</v>
      </c>
      <c r="I691" s="553">
        <f t="shared" si="149"/>
        <v>400</v>
      </c>
      <c r="J691" s="819">
        <f t="shared" si="150"/>
        <v>1</v>
      </c>
    </row>
    <row r="692" spans="1:10" ht="25.5" x14ac:dyDescent="0.2">
      <c r="A692" s="79" t="s">
        <v>313</v>
      </c>
      <c r="B692" s="89">
        <v>7500</v>
      </c>
      <c r="C692" s="89">
        <v>-3000</v>
      </c>
      <c r="D692" s="553">
        <v>-500</v>
      </c>
      <c r="E692" s="89">
        <f t="shared" si="146"/>
        <v>4000</v>
      </c>
      <c r="F692" s="553">
        <v>7500</v>
      </c>
      <c r="G692" s="553">
        <f t="shared" si="147"/>
        <v>0</v>
      </c>
      <c r="H692" s="819">
        <f t="shared" si="148"/>
        <v>0</v>
      </c>
      <c r="I692" s="553">
        <f t="shared" si="149"/>
        <v>3500</v>
      </c>
      <c r="J692" s="819">
        <f t="shared" si="150"/>
        <v>0.875</v>
      </c>
    </row>
    <row r="693" spans="1:10" x14ac:dyDescent="0.2">
      <c r="A693" s="79" t="s">
        <v>172</v>
      </c>
      <c r="B693" s="89">
        <v>4000</v>
      </c>
      <c r="C693" s="89"/>
      <c r="D693" s="553">
        <v>1500</v>
      </c>
      <c r="E693" s="89">
        <f t="shared" si="146"/>
        <v>5500</v>
      </c>
      <c r="F693" s="553">
        <v>4000</v>
      </c>
      <c r="G693" s="553">
        <f t="shared" si="147"/>
        <v>0</v>
      </c>
      <c r="H693" s="819">
        <f t="shared" si="148"/>
        <v>0</v>
      </c>
      <c r="I693" s="553">
        <f t="shared" si="149"/>
        <v>-1500</v>
      </c>
      <c r="J693" s="819">
        <f t="shared" si="150"/>
        <v>-0.27272727272727271</v>
      </c>
    </row>
    <row r="694" spans="1:10" x14ac:dyDescent="0.2">
      <c r="A694" s="76"/>
      <c r="B694" s="88"/>
      <c r="C694" s="88"/>
      <c r="D694" s="549"/>
      <c r="E694" s="88">
        <f t="shared" ref="E694:E757" si="151">B694+C694+D694</f>
        <v>0</v>
      </c>
      <c r="F694" s="549"/>
      <c r="G694" s="549">
        <f t="shared" si="147"/>
        <v>0</v>
      </c>
      <c r="H694" s="815"/>
      <c r="I694" s="549">
        <f t="shared" si="149"/>
        <v>0</v>
      </c>
      <c r="J694" s="815"/>
    </row>
    <row r="695" spans="1:10" x14ac:dyDescent="0.2">
      <c r="A695" s="76" t="s">
        <v>1120</v>
      </c>
      <c r="B695" s="88">
        <f>B696+B700+B703</f>
        <v>215270</v>
      </c>
      <c r="C695" s="88">
        <f>C696+C700+C703</f>
        <v>0</v>
      </c>
      <c r="D695" s="549">
        <f>D696+D700+D703</f>
        <v>0</v>
      </c>
      <c r="E695" s="88">
        <f t="shared" si="151"/>
        <v>215270</v>
      </c>
      <c r="F695" s="549">
        <f>F696+F700+F703</f>
        <v>215270</v>
      </c>
      <c r="G695" s="549">
        <f t="shared" si="147"/>
        <v>0</v>
      </c>
      <c r="H695" s="815">
        <f t="shared" si="148"/>
        <v>0</v>
      </c>
      <c r="I695" s="549">
        <f t="shared" si="149"/>
        <v>0</v>
      </c>
      <c r="J695" s="815">
        <f t="shared" si="150"/>
        <v>0</v>
      </c>
    </row>
    <row r="696" spans="1:10" x14ac:dyDescent="0.2">
      <c r="A696" s="76" t="s">
        <v>134</v>
      </c>
      <c r="B696" s="88">
        <f>SUM(B697:B699)</f>
        <v>163880</v>
      </c>
      <c r="C696" s="88">
        <f>SUM(C697:C699)</f>
        <v>0</v>
      </c>
      <c r="D696" s="549">
        <f>SUM(D697:D699)</f>
        <v>8000</v>
      </c>
      <c r="E696" s="88">
        <f t="shared" si="151"/>
        <v>171880</v>
      </c>
      <c r="F696" s="549">
        <f>SUM(F697:F699)</f>
        <v>163650</v>
      </c>
      <c r="G696" s="549">
        <f t="shared" si="147"/>
        <v>-230</v>
      </c>
      <c r="H696" s="815">
        <f t="shared" si="148"/>
        <v>-1.403465950695631E-3</v>
      </c>
      <c r="I696" s="549">
        <f t="shared" si="149"/>
        <v>-8230</v>
      </c>
      <c r="J696" s="815">
        <f t="shared" si="150"/>
        <v>-4.7882243425645801E-2</v>
      </c>
    </row>
    <row r="697" spans="1:10" x14ac:dyDescent="0.2">
      <c r="A697" s="77" t="s">
        <v>189</v>
      </c>
      <c r="B697" s="90">
        <v>4200</v>
      </c>
      <c r="C697" s="90"/>
      <c r="D697" s="558">
        <v>2000</v>
      </c>
      <c r="E697" s="90">
        <f t="shared" si="151"/>
        <v>6200</v>
      </c>
      <c r="F697" s="558">
        <v>4200</v>
      </c>
      <c r="G697" s="558">
        <f t="shared" si="147"/>
        <v>0</v>
      </c>
      <c r="H697" s="814">
        <f t="shared" si="148"/>
        <v>0</v>
      </c>
      <c r="I697" s="558">
        <f t="shared" si="149"/>
        <v>-2000</v>
      </c>
      <c r="J697" s="814">
        <f t="shared" si="150"/>
        <v>-0.32258064516129031</v>
      </c>
    </row>
    <row r="698" spans="1:10" x14ac:dyDescent="0.2">
      <c r="A698" s="79" t="s">
        <v>181</v>
      </c>
      <c r="B698" s="89">
        <v>156000</v>
      </c>
      <c r="C698" s="89"/>
      <c r="D698" s="553">
        <v>8000</v>
      </c>
      <c r="E698" s="90">
        <f t="shared" si="151"/>
        <v>164000</v>
      </c>
      <c r="F698" s="553">
        <v>156000</v>
      </c>
      <c r="G698" s="553">
        <f t="shared" si="147"/>
        <v>0</v>
      </c>
      <c r="H698" s="819">
        <f t="shared" si="148"/>
        <v>0</v>
      </c>
      <c r="I698" s="553">
        <f t="shared" si="149"/>
        <v>-8000</v>
      </c>
      <c r="J698" s="819">
        <f t="shared" si="150"/>
        <v>-4.878048780487805E-2</v>
      </c>
    </row>
    <row r="699" spans="1:10" x14ac:dyDescent="0.2">
      <c r="A699" s="79" t="s">
        <v>284</v>
      </c>
      <c r="B699" s="89">
        <v>3680</v>
      </c>
      <c r="C699" s="89"/>
      <c r="D699" s="553">
        <v>-2000</v>
      </c>
      <c r="E699" s="90">
        <f t="shared" si="151"/>
        <v>1680</v>
      </c>
      <c r="F699" s="553">
        <v>3450</v>
      </c>
      <c r="G699" s="553">
        <f t="shared" si="147"/>
        <v>-230</v>
      </c>
      <c r="H699" s="819">
        <f t="shared" si="148"/>
        <v>-6.25E-2</v>
      </c>
      <c r="I699" s="553">
        <f t="shared" si="149"/>
        <v>1770</v>
      </c>
      <c r="J699" s="819">
        <f t="shared" si="150"/>
        <v>1.0535714285714286</v>
      </c>
    </row>
    <row r="700" spans="1:10" x14ac:dyDescent="0.2">
      <c r="A700" s="76" t="s">
        <v>132</v>
      </c>
      <c r="B700" s="88">
        <f>SUM(B701:B702)</f>
        <v>42500</v>
      </c>
      <c r="C700" s="88">
        <f>SUM(C701:C702)</f>
        <v>0</v>
      </c>
      <c r="D700" s="549">
        <f>SUM(D701:D702)</f>
        <v>-5880</v>
      </c>
      <c r="E700" s="88">
        <f t="shared" si="151"/>
        <v>36620</v>
      </c>
      <c r="F700" s="549">
        <f>SUM(F701:F702)</f>
        <v>42500</v>
      </c>
      <c r="G700" s="549">
        <f t="shared" si="147"/>
        <v>0</v>
      </c>
      <c r="H700" s="815">
        <f t="shared" si="148"/>
        <v>0</v>
      </c>
      <c r="I700" s="549">
        <f t="shared" si="149"/>
        <v>5880</v>
      </c>
      <c r="J700" s="815">
        <f t="shared" si="150"/>
        <v>0.16056799563080285</v>
      </c>
    </row>
    <row r="701" spans="1:10" x14ac:dyDescent="0.2">
      <c r="A701" s="79" t="s">
        <v>179</v>
      </c>
      <c r="B701" s="89">
        <v>13500</v>
      </c>
      <c r="C701" s="89"/>
      <c r="D701" s="553"/>
      <c r="E701" s="89">
        <f t="shared" si="151"/>
        <v>13500</v>
      </c>
      <c r="F701" s="553">
        <v>13500</v>
      </c>
      <c r="G701" s="553">
        <f t="shared" si="147"/>
        <v>0</v>
      </c>
      <c r="H701" s="819">
        <f t="shared" si="148"/>
        <v>0</v>
      </c>
      <c r="I701" s="553">
        <f t="shared" si="149"/>
        <v>0</v>
      </c>
      <c r="J701" s="819">
        <f t="shared" si="150"/>
        <v>0</v>
      </c>
    </row>
    <row r="702" spans="1:10" x14ac:dyDescent="0.2">
      <c r="A702" s="77" t="s">
        <v>163</v>
      </c>
      <c r="B702" s="90">
        <v>29000</v>
      </c>
      <c r="C702" s="90"/>
      <c r="D702" s="558">
        <v>-5880</v>
      </c>
      <c r="E702" s="89">
        <f t="shared" si="151"/>
        <v>23120</v>
      </c>
      <c r="F702" s="558">
        <v>29000</v>
      </c>
      <c r="G702" s="558">
        <f t="shared" si="147"/>
        <v>0</v>
      </c>
      <c r="H702" s="814">
        <f t="shared" si="148"/>
        <v>0</v>
      </c>
      <c r="I702" s="558">
        <f t="shared" si="149"/>
        <v>5880</v>
      </c>
      <c r="J702" s="814">
        <f t="shared" si="150"/>
        <v>0.25432525951557095</v>
      </c>
    </row>
    <row r="703" spans="1:10" x14ac:dyDescent="0.2">
      <c r="A703" s="76" t="s">
        <v>124</v>
      </c>
      <c r="B703" s="88">
        <f>SUM(B704:B705)</f>
        <v>8890</v>
      </c>
      <c r="C703" s="88">
        <f>SUM(C704:C705)</f>
        <v>0</v>
      </c>
      <c r="D703" s="549">
        <f>SUM(D704:D705)</f>
        <v>-2120</v>
      </c>
      <c r="E703" s="88">
        <f t="shared" si="151"/>
        <v>6770</v>
      </c>
      <c r="F703" s="549">
        <f>SUM(F704:F705)</f>
        <v>9120</v>
      </c>
      <c r="G703" s="549">
        <f t="shared" si="147"/>
        <v>230</v>
      </c>
      <c r="H703" s="815">
        <f t="shared" si="148"/>
        <v>2.5871766029246346E-2</v>
      </c>
      <c r="I703" s="549">
        <f t="shared" si="149"/>
        <v>2350</v>
      </c>
      <c r="J703" s="815">
        <f t="shared" si="150"/>
        <v>0.34711964549483015</v>
      </c>
    </row>
    <row r="704" spans="1:10" x14ac:dyDescent="0.2">
      <c r="A704" s="77" t="s">
        <v>162</v>
      </c>
      <c r="B704" s="90">
        <v>990</v>
      </c>
      <c r="C704" s="90"/>
      <c r="D704" s="558">
        <v>-320</v>
      </c>
      <c r="E704" s="90">
        <f t="shared" si="151"/>
        <v>670</v>
      </c>
      <c r="F704" s="558">
        <v>1220</v>
      </c>
      <c r="G704" s="558">
        <f t="shared" si="147"/>
        <v>230</v>
      </c>
      <c r="H704" s="814">
        <f t="shared" si="148"/>
        <v>0.23232323232323232</v>
      </c>
      <c r="I704" s="558">
        <f t="shared" si="149"/>
        <v>550</v>
      </c>
      <c r="J704" s="814">
        <f t="shared" si="150"/>
        <v>0.82089552238805974</v>
      </c>
    </row>
    <row r="705" spans="1:10" x14ac:dyDescent="0.2">
      <c r="A705" s="77" t="s">
        <v>163</v>
      </c>
      <c r="B705" s="90">
        <v>7900</v>
      </c>
      <c r="C705" s="90"/>
      <c r="D705" s="558">
        <v>-1800</v>
      </c>
      <c r="E705" s="90">
        <f t="shared" si="151"/>
        <v>6100</v>
      </c>
      <c r="F705" s="558">
        <v>7900</v>
      </c>
      <c r="G705" s="558">
        <f t="shared" si="147"/>
        <v>0</v>
      </c>
      <c r="H705" s="814">
        <f t="shared" si="148"/>
        <v>0</v>
      </c>
      <c r="I705" s="558">
        <f t="shared" si="149"/>
        <v>1800</v>
      </c>
      <c r="J705" s="814">
        <f t="shared" si="150"/>
        <v>0.29508196721311475</v>
      </c>
    </row>
    <row r="706" spans="1:10" x14ac:dyDescent="0.2">
      <c r="A706" s="79"/>
      <c r="B706" s="89"/>
      <c r="C706" s="89"/>
      <c r="D706" s="89"/>
      <c r="E706" s="89">
        <f t="shared" si="151"/>
        <v>0</v>
      </c>
      <c r="F706" s="89"/>
      <c r="G706" s="89">
        <f t="shared" si="147"/>
        <v>0</v>
      </c>
      <c r="H706" s="530"/>
      <c r="I706" s="89">
        <f t="shared" si="149"/>
        <v>0</v>
      </c>
      <c r="J706" s="530"/>
    </row>
    <row r="707" spans="1:10" x14ac:dyDescent="0.2">
      <c r="A707" s="78" t="s">
        <v>1114</v>
      </c>
      <c r="B707" s="87">
        <f>B709+B721</f>
        <v>284545</v>
      </c>
      <c r="C707" s="87">
        <f>C709+C721</f>
        <v>-42540</v>
      </c>
      <c r="D707" s="548">
        <f>D709+D721</f>
        <v>-17050</v>
      </c>
      <c r="E707" s="87">
        <f t="shared" si="151"/>
        <v>224955</v>
      </c>
      <c r="F707" s="548">
        <f>F709+F721</f>
        <v>268940</v>
      </c>
      <c r="G707" s="548">
        <f t="shared" si="147"/>
        <v>-15605</v>
      </c>
      <c r="H707" s="818">
        <f t="shared" si="148"/>
        <v>-5.4841940642077702E-2</v>
      </c>
      <c r="I707" s="548">
        <f t="shared" si="149"/>
        <v>43985</v>
      </c>
      <c r="J707" s="818">
        <f t="shared" si="150"/>
        <v>0.19552799448778643</v>
      </c>
    </row>
    <row r="708" spans="1:10" x14ac:dyDescent="0.2">
      <c r="A708" s="78"/>
      <c r="B708" s="87"/>
      <c r="C708" s="87"/>
      <c r="D708" s="548"/>
      <c r="E708" s="87">
        <f t="shared" si="151"/>
        <v>0</v>
      </c>
      <c r="F708" s="548"/>
      <c r="G708" s="548">
        <f t="shared" si="147"/>
        <v>0</v>
      </c>
      <c r="H708" s="818"/>
      <c r="I708" s="548">
        <f t="shared" si="149"/>
        <v>0</v>
      </c>
      <c r="J708" s="818"/>
    </row>
    <row r="709" spans="1:10" x14ac:dyDescent="0.2">
      <c r="A709" s="76" t="s">
        <v>542</v>
      </c>
      <c r="B709" s="88">
        <f>B710+B715+B717</f>
        <v>225115</v>
      </c>
      <c r="C709" s="88">
        <f>C710+C715+C717</f>
        <v>-10240</v>
      </c>
      <c r="D709" s="549">
        <f>D710+D715+D717</f>
        <v>-17050</v>
      </c>
      <c r="E709" s="88">
        <f t="shared" si="151"/>
        <v>197825</v>
      </c>
      <c r="F709" s="549">
        <f>F710+F715+F717</f>
        <v>225160</v>
      </c>
      <c r="G709" s="549">
        <f t="shared" si="147"/>
        <v>45</v>
      </c>
      <c r="H709" s="815">
        <f t="shared" si="148"/>
        <v>1.9989782999800103E-4</v>
      </c>
      <c r="I709" s="549">
        <f t="shared" si="149"/>
        <v>27335</v>
      </c>
      <c r="J709" s="815">
        <f t="shared" si="150"/>
        <v>0.13817768229495767</v>
      </c>
    </row>
    <row r="710" spans="1:10" x14ac:dyDescent="0.2">
      <c r="A710" s="76" t="s">
        <v>124</v>
      </c>
      <c r="B710" s="88">
        <f>SUM(B711:B714)</f>
        <v>64915</v>
      </c>
      <c r="C710" s="88">
        <f>SUM(C711:C714)</f>
        <v>8500</v>
      </c>
      <c r="D710" s="549">
        <f>SUM(D711:D714)</f>
        <v>-15110</v>
      </c>
      <c r="E710" s="88">
        <f t="shared" si="151"/>
        <v>58305</v>
      </c>
      <c r="F710" s="549">
        <f>SUM(F711:F714)</f>
        <v>72160</v>
      </c>
      <c r="G710" s="549">
        <f t="shared" ref="G710:G773" si="152">F710-B710</f>
        <v>7245</v>
      </c>
      <c r="H710" s="815">
        <f t="shared" ref="H710:H773" si="153">G710/B710</f>
        <v>0.11160748671339443</v>
      </c>
      <c r="I710" s="549">
        <f t="shared" ref="I710:I773" si="154">F710-E710</f>
        <v>13855</v>
      </c>
      <c r="J710" s="815">
        <f t="shared" ref="J710:J773" si="155">I710/E710</f>
        <v>0.23762970585713061</v>
      </c>
    </row>
    <row r="711" spans="1:10" x14ac:dyDescent="0.2">
      <c r="A711" s="77" t="s">
        <v>162</v>
      </c>
      <c r="B711" s="90">
        <v>43245</v>
      </c>
      <c r="C711" s="90">
        <v>-4230</v>
      </c>
      <c r="D711" s="558">
        <v>-2360</v>
      </c>
      <c r="E711" s="90">
        <f t="shared" si="151"/>
        <v>36655</v>
      </c>
      <c r="F711" s="558">
        <v>44640</v>
      </c>
      <c r="G711" s="558">
        <f t="shared" si="152"/>
        <v>1395</v>
      </c>
      <c r="H711" s="814">
        <f t="shared" si="153"/>
        <v>3.2258064516129031E-2</v>
      </c>
      <c r="I711" s="558">
        <f t="shared" si="154"/>
        <v>7985</v>
      </c>
      <c r="J711" s="814">
        <f t="shared" si="155"/>
        <v>0.21784204064929749</v>
      </c>
    </row>
    <row r="712" spans="1:10" x14ac:dyDescent="0.2">
      <c r="A712" s="77" t="s">
        <v>163</v>
      </c>
      <c r="B712" s="90">
        <v>10000</v>
      </c>
      <c r="C712" s="90"/>
      <c r="D712" s="558"/>
      <c r="E712" s="90">
        <f t="shared" si="151"/>
        <v>10000</v>
      </c>
      <c r="F712" s="558">
        <v>10000</v>
      </c>
      <c r="G712" s="558">
        <f t="shared" si="152"/>
        <v>0</v>
      </c>
      <c r="H712" s="814">
        <f t="shared" si="153"/>
        <v>0</v>
      </c>
      <c r="I712" s="558">
        <f t="shared" si="154"/>
        <v>0</v>
      </c>
      <c r="J712" s="814">
        <f t="shared" si="155"/>
        <v>0</v>
      </c>
    </row>
    <row r="713" spans="1:10" x14ac:dyDescent="0.2">
      <c r="A713" s="77" t="s">
        <v>311</v>
      </c>
      <c r="B713" s="90">
        <v>7500</v>
      </c>
      <c r="C713" s="90">
        <v>10000</v>
      </c>
      <c r="D713" s="558">
        <v>-12750</v>
      </c>
      <c r="E713" s="90">
        <f t="shared" si="151"/>
        <v>4750</v>
      </c>
      <c r="F713" s="558">
        <v>10000</v>
      </c>
      <c r="G713" s="558">
        <f t="shared" si="152"/>
        <v>2500</v>
      </c>
      <c r="H713" s="814">
        <f t="shared" si="153"/>
        <v>0.33333333333333331</v>
      </c>
      <c r="I713" s="558">
        <f t="shared" si="154"/>
        <v>5250</v>
      </c>
      <c r="J713" s="814">
        <f t="shared" si="155"/>
        <v>1.1052631578947369</v>
      </c>
    </row>
    <row r="714" spans="1:10" x14ac:dyDescent="0.2">
      <c r="A714" s="77" t="s">
        <v>170</v>
      </c>
      <c r="B714" s="90">
        <v>4170</v>
      </c>
      <c r="C714" s="90">
        <v>2730</v>
      </c>
      <c r="D714" s="558"/>
      <c r="E714" s="90">
        <f t="shared" si="151"/>
        <v>6900</v>
      </c>
      <c r="F714" s="558">
        <v>7520</v>
      </c>
      <c r="G714" s="558">
        <f t="shared" si="152"/>
        <v>3350</v>
      </c>
      <c r="H714" s="814">
        <f t="shared" si="153"/>
        <v>0.80335731414868106</v>
      </c>
      <c r="I714" s="558">
        <f t="shared" si="154"/>
        <v>620</v>
      </c>
      <c r="J714" s="814">
        <f t="shared" si="155"/>
        <v>8.9855072463768115E-2</v>
      </c>
    </row>
    <row r="715" spans="1:10" x14ac:dyDescent="0.2">
      <c r="A715" s="76" t="s">
        <v>131</v>
      </c>
      <c r="B715" s="88">
        <f>B716</f>
        <v>69200</v>
      </c>
      <c r="C715" s="88">
        <f>C716</f>
        <v>-13940</v>
      </c>
      <c r="D715" s="549">
        <f>D716</f>
        <v>-16790</v>
      </c>
      <c r="E715" s="88">
        <f t="shared" si="151"/>
        <v>38470</v>
      </c>
      <c r="F715" s="549">
        <f>F716</f>
        <v>64000</v>
      </c>
      <c r="G715" s="549">
        <f t="shared" si="152"/>
        <v>-5200</v>
      </c>
      <c r="H715" s="815">
        <f t="shared" si="153"/>
        <v>-7.5144508670520235E-2</v>
      </c>
      <c r="I715" s="549">
        <f t="shared" si="154"/>
        <v>25530</v>
      </c>
      <c r="J715" s="815">
        <f t="shared" si="155"/>
        <v>0.66363400051988564</v>
      </c>
    </row>
    <row r="716" spans="1:10" x14ac:dyDescent="0.2">
      <c r="A716" s="79" t="s">
        <v>188</v>
      </c>
      <c r="B716" s="89">
        <v>69200</v>
      </c>
      <c r="C716" s="89">
        <v>-13940</v>
      </c>
      <c r="D716" s="553">
        <v>-16790</v>
      </c>
      <c r="E716" s="89">
        <f t="shared" si="151"/>
        <v>38470</v>
      </c>
      <c r="F716" s="553">
        <v>64000</v>
      </c>
      <c r="G716" s="553">
        <f t="shared" si="152"/>
        <v>-5200</v>
      </c>
      <c r="H716" s="819">
        <f t="shared" si="153"/>
        <v>-7.5144508670520235E-2</v>
      </c>
      <c r="I716" s="553">
        <f t="shared" si="154"/>
        <v>25530</v>
      </c>
      <c r="J716" s="819">
        <f t="shared" si="155"/>
        <v>0.66363400051988564</v>
      </c>
    </row>
    <row r="717" spans="1:10" x14ac:dyDescent="0.2">
      <c r="A717" s="81" t="s">
        <v>125</v>
      </c>
      <c r="B717" s="91">
        <f>SUM(B718:B719)</f>
        <v>91000</v>
      </c>
      <c r="C717" s="91">
        <f>SUM(C718:C719)</f>
        <v>-4800</v>
      </c>
      <c r="D717" s="560">
        <f>SUM(D718:D719)</f>
        <v>14850</v>
      </c>
      <c r="E717" s="91">
        <f t="shared" si="151"/>
        <v>101050</v>
      </c>
      <c r="F717" s="560">
        <f>SUM(F718:F719)</f>
        <v>89000</v>
      </c>
      <c r="G717" s="560">
        <f t="shared" si="152"/>
        <v>-2000</v>
      </c>
      <c r="H717" s="820">
        <f t="shared" si="153"/>
        <v>-2.197802197802198E-2</v>
      </c>
      <c r="I717" s="560">
        <f t="shared" si="154"/>
        <v>-12050</v>
      </c>
      <c r="J717" s="820">
        <f t="shared" si="155"/>
        <v>-0.11924789708065314</v>
      </c>
    </row>
    <row r="718" spans="1:10" x14ac:dyDescent="0.2">
      <c r="A718" s="77" t="s">
        <v>186</v>
      </c>
      <c r="B718" s="90">
        <v>80000</v>
      </c>
      <c r="C718" s="90"/>
      <c r="D718" s="558">
        <v>5965</v>
      </c>
      <c r="E718" s="90">
        <f t="shared" si="151"/>
        <v>85965</v>
      </c>
      <c r="F718" s="558">
        <v>80000</v>
      </c>
      <c r="G718" s="558">
        <f t="shared" si="152"/>
        <v>0</v>
      </c>
      <c r="H718" s="814">
        <f t="shared" si="153"/>
        <v>0</v>
      </c>
      <c r="I718" s="558">
        <f t="shared" si="154"/>
        <v>-5965</v>
      </c>
      <c r="J718" s="814">
        <f t="shared" si="155"/>
        <v>-6.9388704705403356E-2</v>
      </c>
    </row>
    <row r="719" spans="1:10" x14ac:dyDescent="0.2">
      <c r="A719" s="79" t="s">
        <v>177</v>
      </c>
      <c r="B719" s="89">
        <v>11000</v>
      </c>
      <c r="C719" s="89">
        <v>-4800</v>
      </c>
      <c r="D719" s="553">
        <v>8885</v>
      </c>
      <c r="E719" s="90">
        <f t="shared" si="151"/>
        <v>15085</v>
      </c>
      <c r="F719" s="553">
        <v>9000</v>
      </c>
      <c r="G719" s="553">
        <f t="shared" si="152"/>
        <v>-2000</v>
      </c>
      <c r="H719" s="819">
        <f t="shared" si="153"/>
        <v>-0.18181818181818182</v>
      </c>
      <c r="I719" s="553">
        <f t="shared" si="154"/>
        <v>-6085</v>
      </c>
      <c r="J719" s="819">
        <f t="shared" si="155"/>
        <v>-0.4033808418959231</v>
      </c>
    </row>
    <row r="720" spans="1:10" x14ac:dyDescent="0.2">
      <c r="A720" s="76"/>
      <c r="B720" s="88"/>
      <c r="C720" s="88"/>
      <c r="D720" s="549"/>
      <c r="E720" s="88">
        <f t="shared" si="151"/>
        <v>0</v>
      </c>
      <c r="F720" s="549"/>
      <c r="G720" s="549">
        <f t="shared" si="152"/>
        <v>0</v>
      </c>
      <c r="H720" s="815"/>
      <c r="I720" s="549">
        <f t="shared" si="154"/>
        <v>0</v>
      </c>
      <c r="J720" s="815"/>
    </row>
    <row r="721" spans="1:10" x14ac:dyDescent="0.2">
      <c r="A721" s="81" t="s">
        <v>1115</v>
      </c>
      <c r="B721" s="91">
        <f>B722+B728+B730</f>
        <v>59430</v>
      </c>
      <c r="C721" s="91">
        <f>C722+C728+C730</f>
        <v>-32300</v>
      </c>
      <c r="D721" s="560">
        <f>D722+D728+D730</f>
        <v>0</v>
      </c>
      <c r="E721" s="91">
        <f t="shared" si="151"/>
        <v>27130</v>
      </c>
      <c r="F721" s="560">
        <f>F722+F728+F730</f>
        <v>43780</v>
      </c>
      <c r="G721" s="560">
        <f t="shared" si="152"/>
        <v>-15650</v>
      </c>
      <c r="H721" s="820">
        <f t="shared" si="153"/>
        <v>-0.26333501598519266</v>
      </c>
      <c r="I721" s="560">
        <f t="shared" si="154"/>
        <v>16650</v>
      </c>
      <c r="J721" s="820">
        <f t="shared" si="155"/>
        <v>0.61371175820125323</v>
      </c>
    </row>
    <row r="722" spans="1:10" x14ac:dyDescent="0.2">
      <c r="A722" s="76" t="s">
        <v>128</v>
      </c>
      <c r="B722" s="88">
        <f>SUM(B723:B727)</f>
        <v>47350</v>
      </c>
      <c r="C722" s="88">
        <f>SUM(C723:C727)</f>
        <v>-26150</v>
      </c>
      <c r="D722" s="549">
        <f>SUM(D723:D727)</f>
        <v>0</v>
      </c>
      <c r="E722" s="88">
        <f t="shared" si="151"/>
        <v>21200</v>
      </c>
      <c r="F722" s="549">
        <f>SUM(F723:F727)</f>
        <v>34650</v>
      </c>
      <c r="G722" s="549">
        <f t="shared" si="152"/>
        <v>-12700</v>
      </c>
      <c r="H722" s="815">
        <f t="shared" si="153"/>
        <v>-0.26821541710665259</v>
      </c>
      <c r="I722" s="549">
        <f t="shared" si="154"/>
        <v>13450</v>
      </c>
      <c r="J722" s="815">
        <f t="shared" si="155"/>
        <v>0.63443396226415094</v>
      </c>
    </row>
    <row r="723" spans="1:10" x14ac:dyDescent="0.2">
      <c r="A723" s="79" t="s">
        <v>173</v>
      </c>
      <c r="B723" s="89">
        <v>27500</v>
      </c>
      <c r="C723" s="89">
        <f>-5000-12000</f>
        <v>-17000</v>
      </c>
      <c r="D723" s="553"/>
      <c r="E723" s="89">
        <f t="shared" si="151"/>
        <v>10500</v>
      </c>
      <c r="F723" s="553">
        <v>20500</v>
      </c>
      <c r="G723" s="553">
        <f t="shared" si="152"/>
        <v>-7000</v>
      </c>
      <c r="H723" s="819">
        <f t="shared" si="153"/>
        <v>-0.25454545454545452</v>
      </c>
      <c r="I723" s="553">
        <f t="shared" si="154"/>
        <v>10000</v>
      </c>
      <c r="J723" s="819">
        <f t="shared" si="155"/>
        <v>0.95238095238095233</v>
      </c>
    </row>
    <row r="724" spans="1:10" x14ac:dyDescent="0.2">
      <c r="A724" s="79" t="s">
        <v>170</v>
      </c>
      <c r="B724" s="89">
        <v>1000</v>
      </c>
      <c r="C724" s="89">
        <v>-500</v>
      </c>
      <c r="D724" s="553"/>
      <c r="E724" s="89">
        <f t="shared" si="151"/>
        <v>500</v>
      </c>
      <c r="F724" s="553">
        <v>700</v>
      </c>
      <c r="G724" s="553">
        <f t="shared" si="152"/>
        <v>-300</v>
      </c>
      <c r="H724" s="819">
        <f t="shared" si="153"/>
        <v>-0.3</v>
      </c>
      <c r="I724" s="553">
        <f t="shared" si="154"/>
        <v>200</v>
      </c>
      <c r="J724" s="819">
        <f t="shared" si="155"/>
        <v>0.4</v>
      </c>
    </row>
    <row r="725" spans="1:10" x14ac:dyDescent="0.2">
      <c r="A725" s="79" t="s">
        <v>165</v>
      </c>
      <c r="B725" s="89">
        <v>3200</v>
      </c>
      <c r="C725" s="89"/>
      <c r="D725" s="553"/>
      <c r="E725" s="89">
        <f t="shared" si="151"/>
        <v>3200</v>
      </c>
      <c r="F725" s="553">
        <v>3000</v>
      </c>
      <c r="G725" s="553">
        <f t="shared" si="152"/>
        <v>-200</v>
      </c>
      <c r="H725" s="819">
        <f t="shared" si="153"/>
        <v>-6.25E-2</v>
      </c>
      <c r="I725" s="553">
        <f t="shared" si="154"/>
        <v>-200</v>
      </c>
      <c r="J725" s="819">
        <f t="shared" si="155"/>
        <v>-6.25E-2</v>
      </c>
    </row>
    <row r="726" spans="1:10" ht="25.5" x14ac:dyDescent="0.2">
      <c r="A726" s="79" t="s">
        <v>175</v>
      </c>
      <c r="B726" s="89">
        <v>15000</v>
      </c>
      <c r="C726" s="89">
        <f>-2000-6000</f>
        <v>-8000</v>
      </c>
      <c r="D726" s="553"/>
      <c r="E726" s="89">
        <f t="shared" si="151"/>
        <v>7000</v>
      </c>
      <c r="F726" s="553">
        <v>10000</v>
      </c>
      <c r="G726" s="553">
        <f t="shared" si="152"/>
        <v>-5000</v>
      </c>
      <c r="H726" s="819">
        <f t="shared" si="153"/>
        <v>-0.33333333333333331</v>
      </c>
      <c r="I726" s="553">
        <f t="shared" si="154"/>
        <v>3000</v>
      </c>
      <c r="J726" s="819">
        <f t="shared" si="155"/>
        <v>0.42857142857142855</v>
      </c>
    </row>
    <row r="727" spans="1:10" ht="25.5" x14ac:dyDescent="0.2">
      <c r="A727" s="79" t="s">
        <v>169</v>
      </c>
      <c r="B727" s="89">
        <v>650</v>
      </c>
      <c r="C727" s="89">
        <v>-650</v>
      </c>
      <c r="D727" s="553"/>
      <c r="E727" s="89">
        <f t="shared" si="151"/>
        <v>0</v>
      </c>
      <c r="F727" s="553">
        <v>450</v>
      </c>
      <c r="G727" s="553">
        <f t="shared" si="152"/>
        <v>-200</v>
      </c>
      <c r="H727" s="819">
        <f t="shared" si="153"/>
        <v>-0.30769230769230771</v>
      </c>
      <c r="I727" s="553">
        <f t="shared" si="154"/>
        <v>450</v>
      </c>
      <c r="J727" s="819"/>
    </row>
    <row r="728" spans="1:10" x14ac:dyDescent="0.2">
      <c r="A728" s="76" t="s">
        <v>129</v>
      </c>
      <c r="B728" s="88">
        <f>SUM(B729:B729)</f>
        <v>400</v>
      </c>
      <c r="C728" s="88">
        <f>SUM(C729:C729)</f>
        <v>-350</v>
      </c>
      <c r="D728" s="549">
        <f>SUM(D729:D729)</f>
        <v>0</v>
      </c>
      <c r="E728" s="88">
        <f t="shared" si="151"/>
        <v>50</v>
      </c>
      <c r="F728" s="549">
        <f>SUM(F729:F729)</f>
        <v>250</v>
      </c>
      <c r="G728" s="549">
        <f t="shared" si="152"/>
        <v>-150</v>
      </c>
      <c r="H728" s="815">
        <f t="shared" si="153"/>
        <v>-0.375</v>
      </c>
      <c r="I728" s="549">
        <f t="shared" si="154"/>
        <v>200</v>
      </c>
      <c r="J728" s="815">
        <f t="shared" si="155"/>
        <v>4</v>
      </c>
    </row>
    <row r="729" spans="1:10" ht="25.5" x14ac:dyDescent="0.2">
      <c r="A729" s="79" t="s">
        <v>289</v>
      </c>
      <c r="B729" s="89">
        <v>400</v>
      </c>
      <c r="C729" s="89">
        <v>-350</v>
      </c>
      <c r="D729" s="553"/>
      <c r="E729" s="89">
        <f t="shared" si="151"/>
        <v>50</v>
      </c>
      <c r="F729" s="553">
        <v>250</v>
      </c>
      <c r="G729" s="553">
        <f t="shared" si="152"/>
        <v>-150</v>
      </c>
      <c r="H729" s="819">
        <f t="shared" si="153"/>
        <v>-0.375</v>
      </c>
      <c r="I729" s="553">
        <f t="shared" si="154"/>
        <v>200</v>
      </c>
      <c r="J729" s="819">
        <f t="shared" si="155"/>
        <v>4</v>
      </c>
    </row>
    <row r="730" spans="1:10" x14ac:dyDescent="0.2">
      <c r="A730" s="76" t="s">
        <v>134</v>
      </c>
      <c r="B730" s="88">
        <f>SUM(B731:B735)</f>
        <v>11680</v>
      </c>
      <c r="C730" s="88">
        <f>SUM(C731:C735)</f>
        <v>-5800</v>
      </c>
      <c r="D730" s="549">
        <f>SUM(D731:D735)</f>
        <v>0</v>
      </c>
      <c r="E730" s="88">
        <f t="shared" si="151"/>
        <v>5880</v>
      </c>
      <c r="F730" s="549">
        <f>SUM(F731:F735)</f>
        <v>8880</v>
      </c>
      <c r="G730" s="549">
        <f t="shared" si="152"/>
        <v>-2800</v>
      </c>
      <c r="H730" s="815">
        <f t="shared" si="153"/>
        <v>-0.23972602739726026</v>
      </c>
      <c r="I730" s="549">
        <f t="shared" si="154"/>
        <v>3000</v>
      </c>
      <c r="J730" s="815">
        <f t="shared" si="155"/>
        <v>0.51020408163265307</v>
      </c>
    </row>
    <row r="731" spans="1:10" x14ac:dyDescent="0.2">
      <c r="A731" s="77" t="s">
        <v>189</v>
      </c>
      <c r="B731" s="90">
        <v>2300</v>
      </c>
      <c r="C731" s="90"/>
      <c r="D731" s="558"/>
      <c r="E731" s="90">
        <f t="shared" si="151"/>
        <v>2300</v>
      </c>
      <c r="F731" s="558">
        <v>2300</v>
      </c>
      <c r="G731" s="558">
        <f t="shared" si="152"/>
        <v>0</v>
      </c>
      <c r="H731" s="814">
        <f t="shared" si="153"/>
        <v>0</v>
      </c>
      <c r="I731" s="558">
        <f t="shared" si="154"/>
        <v>0</v>
      </c>
      <c r="J731" s="814">
        <f t="shared" si="155"/>
        <v>0</v>
      </c>
    </row>
    <row r="732" spans="1:10" x14ac:dyDescent="0.2">
      <c r="A732" s="79" t="s">
        <v>168</v>
      </c>
      <c r="B732" s="89">
        <v>3900</v>
      </c>
      <c r="C732" s="89">
        <v>-2400</v>
      </c>
      <c r="D732" s="553"/>
      <c r="E732" s="89">
        <f t="shared" si="151"/>
        <v>1500</v>
      </c>
      <c r="F732" s="553">
        <v>3300</v>
      </c>
      <c r="G732" s="553">
        <f t="shared" si="152"/>
        <v>-600</v>
      </c>
      <c r="H732" s="819">
        <f t="shared" si="153"/>
        <v>-0.15384615384615385</v>
      </c>
      <c r="I732" s="553">
        <f t="shared" si="154"/>
        <v>1800</v>
      </c>
      <c r="J732" s="819">
        <f t="shared" si="155"/>
        <v>1.2</v>
      </c>
    </row>
    <row r="733" spans="1:10" ht="25.5" x14ac:dyDescent="0.2">
      <c r="A733" s="79" t="s">
        <v>287</v>
      </c>
      <c r="B733" s="89">
        <v>4000</v>
      </c>
      <c r="C733" s="89">
        <v>-2300</v>
      </c>
      <c r="D733" s="553"/>
      <c r="E733" s="89">
        <f t="shared" si="151"/>
        <v>1700</v>
      </c>
      <c r="F733" s="553">
        <v>2800</v>
      </c>
      <c r="G733" s="553">
        <f t="shared" si="152"/>
        <v>-1200</v>
      </c>
      <c r="H733" s="819">
        <f t="shared" si="153"/>
        <v>-0.3</v>
      </c>
      <c r="I733" s="553">
        <f t="shared" si="154"/>
        <v>1100</v>
      </c>
      <c r="J733" s="819">
        <f t="shared" si="155"/>
        <v>0.6470588235294118</v>
      </c>
    </row>
    <row r="734" spans="1:10" x14ac:dyDescent="0.2">
      <c r="A734" s="79" t="s">
        <v>288</v>
      </c>
      <c r="B734" s="89">
        <v>1000</v>
      </c>
      <c r="C734" s="89">
        <v>-1000</v>
      </c>
      <c r="D734" s="553"/>
      <c r="E734" s="89">
        <f t="shared" si="151"/>
        <v>0</v>
      </c>
      <c r="F734" s="553"/>
      <c r="G734" s="553">
        <f t="shared" si="152"/>
        <v>-1000</v>
      </c>
      <c r="H734" s="819">
        <f t="shared" si="153"/>
        <v>-1</v>
      </c>
      <c r="I734" s="553">
        <f t="shared" si="154"/>
        <v>0</v>
      </c>
      <c r="J734" s="819"/>
    </row>
    <row r="735" spans="1:10" x14ac:dyDescent="0.2">
      <c r="A735" s="79" t="s">
        <v>192</v>
      </c>
      <c r="B735" s="89">
        <v>480</v>
      </c>
      <c r="C735" s="89">
        <v>-100</v>
      </c>
      <c r="D735" s="553"/>
      <c r="E735" s="89">
        <f t="shared" si="151"/>
        <v>380</v>
      </c>
      <c r="F735" s="553">
        <v>480</v>
      </c>
      <c r="G735" s="553">
        <f t="shared" si="152"/>
        <v>0</v>
      </c>
      <c r="H735" s="819">
        <f t="shared" si="153"/>
        <v>0</v>
      </c>
      <c r="I735" s="553">
        <f t="shared" si="154"/>
        <v>100</v>
      </c>
      <c r="J735" s="819">
        <f t="shared" si="155"/>
        <v>0.26315789473684209</v>
      </c>
    </row>
    <row r="736" spans="1:10" x14ac:dyDescent="0.2">
      <c r="A736" s="76"/>
      <c r="B736" s="88"/>
      <c r="C736" s="88"/>
      <c r="D736" s="88"/>
      <c r="E736" s="88">
        <f t="shared" si="151"/>
        <v>0</v>
      </c>
      <c r="F736" s="88"/>
      <c r="G736" s="88">
        <f t="shared" si="152"/>
        <v>0</v>
      </c>
      <c r="H736" s="526"/>
      <c r="I736" s="88">
        <f t="shared" si="154"/>
        <v>0</v>
      </c>
      <c r="J736" s="526"/>
    </row>
    <row r="737" spans="1:10" x14ac:dyDescent="0.2">
      <c r="A737" s="78" t="s">
        <v>1108</v>
      </c>
      <c r="B737" s="87">
        <f>B739+B754+B759+B766+B775</f>
        <v>1323784</v>
      </c>
      <c r="C737" s="87">
        <f>C739+C754+C759+C766+C775</f>
        <v>-87830</v>
      </c>
      <c r="D737" s="548">
        <f>D739+D754+D759+D766+D775</f>
        <v>534</v>
      </c>
      <c r="E737" s="87">
        <f t="shared" si="151"/>
        <v>1236488</v>
      </c>
      <c r="F737" s="548">
        <f>F739+F754+F759+F766+F775</f>
        <v>1524113</v>
      </c>
      <c r="G737" s="548">
        <f t="shared" si="152"/>
        <v>200329</v>
      </c>
      <c r="H737" s="818">
        <f t="shared" si="153"/>
        <v>0.15133057961117524</v>
      </c>
      <c r="I737" s="548">
        <f t="shared" si="154"/>
        <v>287625</v>
      </c>
      <c r="J737" s="818">
        <f t="shared" si="155"/>
        <v>0.23261446936808122</v>
      </c>
    </row>
    <row r="738" spans="1:10" x14ac:dyDescent="0.2">
      <c r="A738" s="84"/>
      <c r="B738" s="93"/>
      <c r="C738" s="93"/>
      <c r="D738" s="666"/>
      <c r="E738" s="93">
        <f t="shared" si="151"/>
        <v>0</v>
      </c>
      <c r="F738" s="666"/>
      <c r="G738" s="666">
        <f t="shared" si="152"/>
        <v>0</v>
      </c>
      <c r="H738" s="829"/>
      <c r="I738" s="666">
        <f t="shared" si="154"/>
        <v>0</v>
      </c>
      <c r="J738" s="829"/>
    </row>
    <row r="739" spans="1:10" x14ac:dyDescent="0.2">
      <c r="A739" s="76" t="s">
        <v>1109</v>
      </c>
      <c r="B739" s="88">
        <f>B740+B743+B746+B750</f>
        <v>927602</v>
      </c>
      <c r="C739" s="88">
        <f>C740+C743+C746+C750</f>
        <v>-64314</v>
      </c>
      <c r="D739" s="549">
        <f>D740+D743+D746+D750</f>
        <v>2534</v>
      </c>
      <c r="E739" s="88">
        <f t="shared" si="151"/>
        <v>865822</v>
      </c>
      <c r="F739" s="549">
        <f>F740+F743+F746+F750</f>
        <v>1063720</v>
      </c>
      <c r="G739" s="549">
        <f t="shared" si="152"/>
        <v>136118</v>
      </c>
      <c r="H739" s="815">
        <f t="shared" si="153"/>
        <v>0.14674181383826254</v>
      </c>
      <c r="I739" s="549">
        <f t="shared" si="154"/>
        <v>197898</v>
      </c>
      <c r="J739" s="815">
        <f t="shared" si="155"/>
        <v>0.22856661068903308</v>
      </c>
    </row>
    <row r="740" spans="1:10" x14ac:dyDescent="0.2">
      <c r="A740" s="76" t="s">
        <v>132</v>
      </c>
      <c r="B740" s="88">
        <f>B741+B742</f>
        <v>138000</v>
      </c>
      <c r="C740" s="88">
        <f>C741+C742</f>
        <v>0</v>
      </c>
      <c r="D740" s="549">
        <f>D741+D742</f>
        <v>0</v>
      </c>
      <c r="E740" s="88">
        <f t="shared" si="151"/>
        <v>138000</v>
      </c>
      <c r="F740" s="549">
        <f>F741+F742</f>
        <v>138000</v>
      </c>
      <c r="G740" s="549">
        <f t="shared" si="152"/>
        <v>0</v>
      </c>
      <c r="H740" s="815">
        <f t="shared" si="153"/>
        <v>0</v>
      </c>
      <c r="I740" s="549">
        <f t="shared" si="154"/>
        <v>0</v>
      </c>
      <c r="J740" s="815">
        <f t="shared" si="155"/>
        <v>0</v>
      </c>
    </row>
    <row r="741" spans="1:10" x14ac:dyDescent="0.2">
      <c r="A741" s="77" t="s">
        <v>179</v>
      </c>
      <c r="B741" s="90">
        <v>60000</v>
      </c>
      <c r="C741" s="90"/>
      <c r="D741" s="558"/>
      <c r="E741" s="90">
        <f t="shared" si="151"/>
        <v>60000</v>
      </c>
      <c r="F741" s="558">
        <v>60000</v>
      </c>
      <c r="G741" s="558">
        <f t="shared" si="152"/>
        <v>0</v>
      </c>
      <c r="H741" s="814">
        <f t="shared" si="153"/>
        <v>0</v>
      </c>
      <c r="I741" s="558">
        <f t="shared" si="154"/>
        <v>0</v>
      </c>
      <c r="J741" s="814">
        <f t="shared" si="155"/>
        <v>0</v>
      </c>
    </row>
    <row r="742" spans="1:10" x14ac:dyDescent="0.2">
      <c r="A742" s="77" t="s">
        <v>163</v>
      </c>
      <c r="B742" s="90">
        <v>78000</v>
      </c>
      <c r="C742" s="90"/>
      <c r="D742" s="558"/>
      <c r="E742" s="90">
        <f t="shared" si="151"/>
        <v>78000</v>
      </c>
      <c r="F742" s="558">
        <v>78000</v>
      </c>
      <c r="G742" s="558">
        <f t="shared" si="152"/>
        <v>0</v>
      </c>
      <c r="H742" s="814">
        <f t="shared" si="153"/>
        <v>0</v>
      </c>
      <c r="I742" s="558">
        <f t="shared" si="154"/>
        <v>0</v>
      </c>
      <c r="J742" s="814">
        <f t="shared" si="155"/>
        <v>0</v>
      </c>
    </row>
    <row r="743" spans="1:10" x14ac:dyDescent="0.2">
      <c r="A743" s="76" t="s">
        <v>124</v>
      </c>
      <c r="B743" s="88">
        <f>SUM(B744:B745)</f>
        <v>610422</v>
      </c>
      <c r="C743" s="88">
        <f>SUM(C744:C745)</f>
        <v>-82494</v>
      </c>
      <c r="D743" s="549">
        <f>SUM(D744:D745)</f>
        <v>0</v>
      </c>
      <c r="E743" s="88">
        <f t="shared" si="151"/>
        <v>527928</v>
      </c>
      <c r="F743" s="549">
        <f>SUM(F744:F745)</f>
        <v>790540</v>
      </c>
      <c r="G743" s="549">
        <f t="shared" si="152"/>
        <v>180118</v>
      </c>
      <c r="H743" s="815">
        <f t="shared" si="153"/>
        <v>0.29507127855811227</v>
      </c>
      <c r="I743" s="549">
        <f t="shared" si="154"/>
        <v>262612</v>
      </c>
      <c r="J743" s="815">
        <f t="shared" si="155"/>
        <v>0.49743904471821915</v>
      </c>
    </row>
    <row r="744" spans="1:10" x14ac:dyDescent="0.2">
      <c r="A744" s="77" t="s">
        <v>162</v>
      </c>
      <c r="B744" s="90">
        <v>415422</v>
      </c>
      <c r="C744" s="90">
        <v>-82494</v>
      </c>
      <c r="D744" s="558"/>
      <c r="E744" s="90">
        <f t="shared" si="151"/>
        <v>332928</v>
      </c>
      <c r="F744" s="558">
        <v>538719</v>
      </c>
      <c r="G744" s="558">
        <f t="shared" si="152"/>
        <v>123297</v>
      </c>
      <c r="H744" s="814">
        <f t="shared" si="153"/>
        <v>0.29679939916518622</v>
      </c>
      <c r="I744" s="558">
        <f t="shared" si="154"/>
        <v>205791</v>
      </c>
      <c r="J744" s="814">
        <f t="shared" si="155"/>
        <v>0.61812463956170705</v>
      </c>
    </row>
    <row r="745" spans="1:10" x14ac:dyDescent="0.2">
      <c r="A745" s="77" t="s">
        <v>163</v>
      </c>
      <c r="B745" s="90">
        <v>195000</v>
      </c>
      <c r="C745" s="90"/>
      <c r="D745" s="558"/>
      <c r="E745" s="90">
        <f t="shared" si="151"/>
        <v>195000</v>
      </c>
      <c r="F745" s="558">
        <v>251821</v>
      </c>
      <c r="G745" s="558">
        <f t="shared" si="152"/>
        <v>56821</v>
      </c>
      <c r="H745" s="814">
        <f t="shared" si="153"/>
        <v>0.29138974358974357</v>
      </c>
      <c r="I745" s="558">
        <f t="shared" si="154"/>
        <v>56821</v>
      </c>
      <c r="J745" s="814">
        <f t="shared" si="155"/>
        <v>0.29138974358974357</v>
      </c>
    </row>
    <row r="746" spans="1:10" x14ac:dyDescent="0.2">
      <c r="A746" s="81" t="s">
        <v>131</v>
      </c>
      <c r="B746" s="91">
        <f>B747+B748+B749</f>
        <v>127280</v>
      </c>
      <c r="C746" s="91">
        <f>C747+C748+C749</f>
        <v>-100</v>
      </c>
      <c r="D746" s="560">
        <f>D747+D748+D749</f>
        <v>-756</v>
      </c>
      <c r="E746" s="91">
        <f t="shared" si="151"/>
        <v>126424</v>
      </c>
      <c r="F746" s="560">
        <f>F747+F748+F749</f>
        <v>80780</v>
      </c>
      <c r="G746" s="560">
        <f t="shared" si="152"/>
        <v>-46500</v>
      </c>
      <c r="H746" s="820">
        <f t="shared" si="153"/>
        <v>-0.36533626649905721</v>
      </c>
      <c r="I746" s="560">
        <f t="shared" si="154"/>
        <v>-45644</v>
      </c>
      <c r="J746" s="820">
        <f t="shared" si="155"/>
        <v>-0.36103904321964186</v>
      </c>
    </row>
    <row r="747" spans="1:10" x14ac:dyDescent="0.2">
      <c r="A747" s="79" t="s">
        <v>188</v>
      </c>
      <c r="B747" s="89">
        <v>96040</v>
      </c>
      <c r="C747" s="89"/>
      <c r="D747" s="553"/>
      <c r="E747" s="89">
        <f t="shared" si="151"/>
        <v>96040</v>
      </c>
      <c r="F747" s="553">
        <v>50540</v>
      </c>
      <c r="G747" s="553">
        <f t="shared" si="152"/>
        <v>-45500</v>
      </c>
      <c r="H747" s="819">
        <f t="shared" si="153"/>
        <v>-0.47376093294460642</v>
      </c>
      <c r="I747" s="553">
        <f t="shared" si="154"/>
        <v>-45500</v>
      </c>
      <c r="J747" s="819">
        <f t="shared" si="155"/>
        <v>-0.47376093294460642</v>
      </c>
    </row>
    <row r="748" spans="1:10" x14ac:dyDescent="0.2">
      <c r="A748" s="79" t="s">
        <v>176</v>
      </c>
      <c r="B748" s="89">
        <v>30840</v>
      </c>
      <c r="C748" s="89">
        <v>-1000</v>
      </c>
      <c r="D748" s="553">
        <v>-2721</v>
      </c>
      <c r="E748" s="89">
        <f t="shared" si="151"/>
        <v>27119</v>
      </c>
      <c r="F748" s="553">
        <v>29840</v>
      </c>
      <c r="G748" s="553">
        <f t="shared" si="152"/>
        <v>-1000</v>
      </c>
      <c r="H748" s="819">
        <f t="shared" si="153"/>
        <v>-3.2425421530479899E-2</v>
      </c>
      <c r="I748" s="553">
        <f t="shared" si="154"/>
        <v>2721</v>
      </c>
      <c r="J748" s="819">
        <f t="shared" si="155"/>
        <v>0.1003355580958</v>
      </c>
    </row>
    <row r="749" spans="1:10" ht="25.5" x14ac:dyDescent="0.2">
      <c r="A749" s="85" t="s">
        <v>187</v>
      </c>
      <c r="B749" s="89">
        <v>400</v>
      </c>
      <c r="C749" s="89">
        <v>900</v>
      </c>
      <c r="D749" s="553">
        <v>1965</v>
      </c>
      <c r="E749" s="89">
        <f t="shared" si="151"/>
        <v>3265</v>
      </c>
      <c r="F749" s="553">
        <v>400</v>
      </c>
      <c r="G749" s="553">
        <f t="shared" si="152"/>
        <v>0</v>
      </c>
      <c r="H749" s="819">
        <f t="shared" si="153"/>
        <v>0</v>
      </c>
      <c r="I749" s="553">
        <f t="shared" si="154"/>
        <v>-2865</v>
      </c>
      <c r="J749" s="819">
        <f t="shared" si="155"/>
        <v>-0.87748851454823895</v>
      </c>
    </row>
    <row r="750" spans="1:10" x14ac:dyDescent="0.2">
      <c r="A750" s="81" t="s">
        <v>125</v>
      </c>
      <c r="B750" s="91">
        <f>B751+B752</f>
        <v>51900</v>
      </c>
      <c r="C750" s="91">
        <f>C751+C752</f>
        <v>18280</v>
      </c>
      <c r="D750" s="560">
        <f>D751+D752</f>
        <v>3290</v>
      </c>
      <c r="E750" s="91">
        <f t="shared" si="151"/>
        <v>73470</v>
      </c>
      <c r="F750" s="560">
        <f>F751+F752</f>
        <v>54400</v>
      </c>
      <c r="G750" s="560">
        <f t="shared" si="152"/>
        <v>2500</v>
      </c>
      <c r="H750" s="820">
        <f t="shared" si="153"/>
        <v>4.8169556840077073E-2</v>
      </c>
      <c r="I750" s="560">
        <f t="shared" si="154"/>
        <v>-19070</v>
      </c>
      <c r="J750" s="820">
        <f t="shared" si="155"/>
        <v>-0.2595617258745066</v>
      </c>
    </row>
    <row r="751" spans="1:10" x14ac:dyDescent="0.2">
      <c r="A751" s="77" t="s">
        <v>186</v>
      </c>
      <c r="B751" s="90">
        <v>41900</v>
      </c>
      <c r="C751" s="90">
        <v>18280</v>
      </c>
      <c r="D751" s="558">
        <v>3290</v>
      </c>
      <c r="E751" s="90">
        <f t="shared" si="151"/>
        <v>63470</v>
      </c>
      <c r="F751" s="558">
        <v>44400</v>
      </c>
      <c r="G751" s="558">
        <f t="shared" si="152"/>
        <v>2500</v>
      </c>
      <c r="H751" s="814">
        <f t="shared" si="153"/>
        <v>5.9665871121718374E-2</v>
      </c>
      <c r="I751" s="558">
        <f t="shared" si="154"/>
        <v>-19070</v>
      </c>
      <c r="J751" s="814">
        <f t="shared" si="155"/>
        <v>-0.30045690877579961</v>
      </c>
    </row>
    <row r="752" spans="1:10" x14ac:dyDescent="0.2">
      <c r="A752" s="79" t="s">
        <v>177</v>
      </c>
      <c r="B752" s="89">
        <v>10000</v>
      </c>
      <c r="C752" s="89"/>
      <c r="D752" s="553"/>
      <c r="E752" s="90">
        <f t="shared" si="151"/>
        <v>10000</v>
      </c>
      <c r="F752" s="553">
        <v>10000</v>
      </c>
      <c r="G752" s="553">
        <f t="shared" si="152"/>
        <v>0</v>
      </c>
      <c r="H752" s="819">
        <f t="shared" si="153"/>
        <v>0</v>
      </c>
      <c r="I752" s="553">
        <f t="shared" si="154"/>
        <v>0</v>
      </c>
      <c r="J752" s="819">
        <f t="shared" si="155"/>
        <v>0</v>
      </c>
    </row>
    <row r="753" spans="1:10" x14ac:dyDescent="0.2">
      <c r="A753" s="76"/>
      <c r="B753" s="88"/>
      <c r="C753" s="88"/>
      <c r="D753" s="549"/>
      <c r="E753" s="88">
        <f t="shared" si="151"/>
        <v>0</v>
      </c>
      <c r="F753" s="549"/>
      <c r="G753" s="549">
        <f t="shared" si="152"/>
        <v>0</v>
      </c>
      <c r="H753" s="815"/>
      <c r="I753" s="549">
        <f t="shared" si="154"/>
        <v>0</v>
      </c>
      <c r="J753" s="815"/>
    </row>
    <row r="754" spans="1:10" x14ac:dyDescent="0.2">
      <c r="A754" s="81" t="s">
        <v>1110</v>
      </c>
      <c r="B754" s="91">
        <f>B755</f>
        <v>13000</v>
      </c>
      <c r="C754" s="91">
        <f>C755</f>
        <v>-3000</v>
      </c>
      <c r="D754" s="560">
        <f>D755</f>
        <v>-2000</v>
      </c>
      <c r="E754" s="91">
        <f t="shared" si="151"/>
        <v>8000</v>
      </c>
      <c r="F754" s="560">
        <f>F755</f>
        <v>13000</v>
      </c>
      <c r="G754" s="560">
        <f t="shared" si="152"/>
        <v>0</v>
      </c>
      <c r="H754" s="820">
        <f t="shared" si="153"/>
        <v>0</v>
      </c>
      <c r="I754" s="560">
        <f t="shared" si="154"/>
        <v>5000</v>
      </c>
      <c r="J754" s="820">
        <f t="shared" si="155"/>
        <v>0.625</v>
      </c>
    </row>
    <row r="755" spans="1:10" x14ac:dyDescent="0.2">
      <c r="A755" s="76" t="s">
        <v>134</v>
      </c>
      <c r="B755" s="88">
        <f>B756+B757</f>
        <v>13000</v>
      </c>
      <c r="C755" s="88">
        <f>C756+C757</f>
        <v>-3000</v>
      </c>
      <c r="D755" s="549">
        <f>D756+D757</f>
        <v>-2000</v>
      </c>
      <c r="E755" s="88">
        <f t="shared" si="151"/>
        <v>8000</v>
      </c>
      <c r="F755" s="549">
        <f>F756+F757</f>
        <v>13000</v>
      </c>
      <c r="G755" s="549">
        <f t="shared" si="152"/>
        <v>0</v>
      </c>
      <c r="H755" s="815">
        <f t="shared" si="153"/>
        <v>0</v>
      </c>
      <c r="I755" s="549">
        <f t="shared" si="154"/>
        <v>5000</v>
      </c>
      <c r="J755" s="815">
        <f t="shared" si="155"/>
        <v>0.625</v>
      </c>
    </row>
    <row r="756" spans="1:10" x14ac:dyDescent="0.2">
      <c r="A756" s="79" t="s">
        <v>168</v>
      </c>
      <c r="B756" s="89">
        <v>7000</v>
      </c>
      <c r="C756" s="89">
        <v>-2000</v>
      </c>
      <c r="D756" s="553">
        <v>-1000</v>
      </c>
      <c r="E756" s="89">
        <f t="shared" si="151"/>
        <v>4000</v>
      </c>
      <c r="F756" s="553">
        <v>7000</v>
      </c>
      <c r="G756" s="553">
        <f t="shared" si="152"/>
        <v>0</v>
      </c>
      <c r="H756" s="819">
        <f t="shared" si="153"/>
        <v>0</v>
      </c>
      <c r="I756" s="553">
        <f t="shared" si="154"/>
        <v>3000</v>
      </c>
      <c r="J756" s="819">
        <f t="shared" si="155"/>
        <v>0.75</v>
      </c>
    </row>
    <row r="757" spans="1:10" x14ac:dyDescent="0.2">
      <c r="A757" s="79" t="s">
        <v>192</v>
      </c>
      <c r="B757" s="89">
        <v>6000</v>
      </c>
      <c r="C757" s="89">
        <v>-1000</v>
      </c>
      <c r="D757" s="553">
        <v>-1000</v>
      </c>
      <c r="E757" s="89">
        <f t="shared" si="151"/>
        <v>4000</v>
      </c>
      <c r="F757" s="553">
        <v>6000</v>
      </c>
      <c r="G757" s="553">
        <f t="shared" si="152"/>
        <v>0</v>
      </c>
      <c r="H757" s="819">
        <f t="shared" si="153"/>
        <v>0</v>
      </c>
      <c r="I757" s="553">
        <f t="shared" si="154"/>
        <v>2000</v>
      </c>
      <c r="J757" s="819">
        <f t="shared" si="155"/>
        <v>0.5</v>
      </c>
    </row>
    <row r="758" spans="1:10" x14ac:dyDescent="0.2">
      <c r="A758" s="86"/>
      <c r="B758" s="278"/>
      <c r="C758" s="278"/>
      <c r="D758" s="667"/>
      <c r="E758" s="278">
        <f t="shared" ref="E758:E782" si="156">B758+C758+D758</f>
        <v>0</v>
      </c>
      <c r="F758" s="667"/>
      <c r="G758" s="667">
        <f t="shared" si="152"/>
        <v>0</v>
      </c>
      <c r="H758" s="830"/>
      <c r="I758" s="667">
        <f t="shared" si="154"/>
        <v>0</v>
      </c>
      <c r="J758" s="830"/>
    </row>
    <row r="759" spans="1:10" x14ac:dyDescent="0.2">
      <c r="A759" s="81" t="s">
        <v>1111</v>
      </c>
      <c r="B759" s="91">
        <f>B760+B763</f>
        <v>15000</v>
      </c>
      <c r="C759" s="91">
        <f>C760+C763</f>
        <v>0</v>
      </c>
      <c r="D759" s="560">
        <f>D760+D763</f>
        <v>0</v>
      </c>
      <c r="E759" s="91">
        <f t="shared" si="156"/>
        <v>15000</v>
      </c>
      <c r="F759" s="560">
        <f>F760+F763</f>
        <v>15000</v>
      </c>
      <c r="G759" s="560">
        <f t="shared" si="152"/>
        <v>0</v>
      </c>
      <c r="H759" s="820">
        <f t="shared" si="153"/>
        <v>0</v>
      </c>
      <c r="I759" s="560">
        <f t="shared" si="154"/>
        <v>0</v>
      </c>
      <c r="J759" s="820">
        <f t="shared" si="155"/>
        <v>0</v>
      </c>
    </row>
    <row r="760" spans="1:10" x14ac:dyDescent="0.2">
      <c r="A760" s="82" t="s">
        <v>134</v>
      </c>
      <c r="B760" s="92">
        <f>B761+B762</f>
        <v>11000</v>
      </c>
      <c r="C760" s="92">
        <f>C761+C762</f>
        <v>0</v>
      </c>
      <c r="D760" s="549">
        <f>D761+D762</f>
        <v>0</v>
      </c>
      <c r="E760" s="92">
        <f t="shared" si="156"/>
        <v>11000</v>
      </c>
      <c r="F760" s="549">
        <f>F761+F762</f>
        <v>11500</v>
      </c>
      <c r="G760" s="549">
        <f t="shared" si="152"/>
        <v>500</v>
      </c>
      <c r="H760" s="815">
        <f t="shared" si="153"/>
        <v>4.5454545454545456E-2</v>
      </c>
      <c r="I760" s="549">
        <f t="shared" si="154"/>
        <v>500</v>
      </c>
      <c r="J760" s="815">
        <f t="shared" si="155"/>
        <v>4.5454545454545456E-2</v>
      </c>
    </row>
    <row r="761" spans="1:10" x14ac:dyDescent="0.2">
      <c r="A761" s="77" t="s">
        <v>189</v>
      </c>
      <c r="B761" s="90">
        <v>7500</v>
      </c>
      <c r="C761" s="90"/>
      <c r="D761" s="558"/>
      <c r="E761" s="90">
        <f t="shared" si="156"/>
        <v>7500</v>
      </c>
      <c r="F761" s="558">
        <v>8000</v>
      </c>
      <c r="G761" s="558">
        <f t="shared" si="152"/>
        <v>500</v>
      </c>
      <c r="H761" s="814">
        <f t="shared" si="153"/>
        <v>6.6666666666666666E-2</v>
      </c>
      <c r="I761" s="558">
        <f t="shared" si="154"/>
        <v>500</v>
      </c>
      <c r="J761" s="814">
        <f t="shared" si="155"/>
        <v>6.6666666666666666E-2</v>
      </c>
    </row>
    <row r="762" spans="1:10" x14ac:dyDescent="0.2">
      <c r="A762" s="77" t="s">
        <v>284</v>
      </c>
      <c r="B762" s="90">
        <v>3500</v>
      </c>
      <c r="C762" s="90"/>
      <c r="D762" s="558"/>
      <c r="E762" s="90">
        <f t="shared" si="156"/>
        <v>3500</v>
      </c>
      <c r="F762" s="558">
        <v>3500</v>
      </c>
      <c r="G762" s="558">
        <f t="shared" si="152"/>
        <v>0</v>
      </c>
      <c r="H762" s="814">
        <f t="shared" si="153"/>
        <v>0</v>
      </c>
      <c r="I762" s="558">
        <f t="shared" si="154"/>
        <v>0</v>
      </c>
      <c r="J762" s="814">
        <f t="shared" si="155"/>
        <v>0</v>
      </c>
    </row>
    <row r="763" spans="1:10" x14ac:dyDescent="0.2">
      <c r="A763" s="76" t="s">
        <v>124</v>
      </c>
      <c r="B763" s="88">
        <f>SUM(B764:B764)</f>
        <v>4000</v>
      </c>
      <c r="C763" s="88">
        <f>SUM(C764:C764)</f>
        <v>0</v>
      </c>
      <c r="D763" s="549">
        <f>SUM(D764:D764)</f>
        <v>0</v>
      </c>
      <c r="E763" s="88">
        <f t="shared" si="156"/>
        <v>4000</v>
      </c>
      <c r="F763" s="549">
        <f>SUM(F764:F764)</f>
        <v>3500</v>
      </c>
      <c r="G763" s="549">
        <f t="shared" si="152"/>
        <v>-500</v>
      </c>
      <c r="H763" s="815">
        <f t="shared" si="153"/>
        <v>-0.125</v>
      </c>
      <c r="I763" s="549">
        <f t="shared" si="154"/>
        <v>-500</v>
      </c>
      <c r="J763" s="815">
        <f t="shared" si="155"/>
        <v>-0.125</v>
      </c>
    </row>
    <row r="764" spans="1:10" x14ac:dyDescent="0.2">
      <c r="A764" s="77" t="s">
        <v>163</v>
      </c>
      <c r="B764" s="90">
        <v>4000</v>
      </c>
      <c r="C764" s="90"/>
      <c r="D764" s="558"/>
      <c r="E764" s="90">
        <f t="shared" si="156"/>
        <v>4000</v>
      </c>
      <c r="F764" s="558">
        <v>3500</v>
      </c>
      <c r="G764" s="558">
        <f t="shared" si="152"/>
        <v>-500</v>
      </c>
      <c r="H764" s="814">
        <f t="shared" si="153"/>
        <v>-0.125</v>
      </c>
      <c r="I764" s="558">
        <f t="shared" si="154"/>
        <v>-500</v>
      </c>
      <c r="J764" s="814">
        <f t="shared" si="155"/>
        <v>-0.125</v>
      </c>
    </row>
    <row r="765" spans="1:10" x14ac:dyDescent="0.2">
      <c r="A765" s="79"/>
      <c r="B765" s="89"/>
      <c r="C765" s="89"/>
      <c r="D765" s="553"/>
      <c r="E765" s="89">
        <f t="shared" si="156"/>
        <v>0</v>
      </c>
      <c r="F765" s="553"/>
      <c r="G765" s="553">
        <f t="shared" si="152"/>
        <v>0</v>
      </c>
      <c r="H765" s="819"/>
      <c r="I765" s="553">
        <f t="shared" si="154"/>
        <v>0</v>
      </c>
      <c r="J765" s="819"/>
    </row>
    <row r="766" spans="1:10" x14ac:dyDescent="0.2">
      <c r="A766" s="76" t="s">
        <v>1112</v>
      </c>
      <c r="B766" s="88">
        <f>B770+B767</f>
        <v>358862</v>
      </c>
      <c r="C766" s="88">
        <f>C770+C767</f>
        <v>-18516</v>
      </c>
      <c r="D766" s="549">
        <f>D770+D767</f>
        <v>0</v>
      </c>
      <c r="E766" s="88">
        <f t="shared" si="156"/>
        <v>340346</v>
      </c>
      <c r="F766" s="549">
        <f>F770+F767</f>
        <v>424073</v>
      </c>
      <c r="G766" s="549">
        <f t="shared" si="152"/>
        <v>65211</v>
      </c>
      <c r="H766" s="815">
        <f t="shared" si="153"/>
        <v>0.18171609142232947</v>
      </c>
      <c r="I766" s="549">
        <f t="shared" si="154"/>
        <v>83727</v>
      </c>
      <c r="J766" s="815">
        <f t="shared" si="155"/>
        <v>0.24600553554324128</v>
      </c>
    </row>
    <row r="767" spans="1:10" x14ac:dyDescent="0.2">
      <c r="A767" s="76" t="s">
        <v>124</v>
      </c>
      <c r="B767" s="88">
        <f>B768+B769</f>
        <v>298615</v>
      </c>
      <c r="C767" s="88">
        <f>C768+C769</f>
        <v>0</v>
      </c>
      <c r="D767" s="549">
        <f>D768+D769</f>
        <v>5352</v>
      </c>
      <c r="E767" s="88">
        <f t="shared" si="156"/>
        <v>303967</v>
      </c>
      <c r="F767" s="549">
        <f>F768+F769</f>
        <v>366260</v>
      </c>
      <c r="G767" s="549">
        <f t="shared" si="152"/>
        <v>67645</v>
      </c>
      <c r="H767" s="815">
        <f t="shared" si="153"/>
        <v>0.22652914287627882</v>
      </c>
      <c r="I767" s="549">
        <f t="shared" si="154"/>
        <v>62293</v>
      </c>
      <c r="J767" s="815">
        <f t="shared" si="155"/>
        <v>0.20493343027368102</v>
      </c>
    </row>
    <row r="768" spans="1:10" x14ac:dyDescent="0.2">
      <c r="A768" s="77" t="s">
        <v>286</v>
      </c>
      <c r="B768" s="90">
        <f>124230+110000</f>
        <v>234230</v>
      </c>
      <c r="C768" s="90"/>
      <c r="D768" s="558">
        <v>5209</v>
      </c>
      <c r="E768" s="90">
        <f t="shared" si="156"/>
        <v>239439</v>
      </c>
      <c r="F768" s="558">
        <v>293475</v>
      </c>
      <c r="G768" s="558">
        <f t="shared" si="152"/>
        <v>59245</v>
      </c>
      <c r="H768" s="814">
        <f t="shared" si="153"/>
        <v>0.25293514921231269</v>
      </c>
      <c r="I768" s="558">
        <f t="shared" si="154"/>
        <v>54036</v>
      </c>
      <c r="J768" s="814">
        <f t="shared" si="155"/>
        <v>0.2256775212058186</v>
      </c>
    </row>
    <row r="769" spans="1:10" x14ac:dyDescent="0.2">
      <c r="A769" s="77" t="s">
        <v>163</v>
      </c>
      <c r="B769" s="90">
        <v>64385</v>
      </c>
      <c r="C769" s="90"/>
      <c r="D769" s="558">
        <v>143</v>
      </c>
      <c r="E769" s="90">
        <f t="shared" si="156"/>
        <v>64528</v>
      </c>
      <c r="F769" s="558">
        <v>72785</v>
      </c>
      <c r="G769" s="558">
        <f t="shared" si="152"/>
        <v>8400</v>
      </c>
      <c r="H769" s="814">
        <f t="shared" si="153"/>
        <v>0.13046517045895784</v>
      </c>
      <c r="I769" s="558">
        <f t="shared" si="154"/>
        <v>8257</v>
      </c>
      <c r="J769" s="814">
        <f t="shared" si="155"/>
        <v>0.12795995536821225</v>
      </c>
    </row>
    <row r="770" spans="1:10" x14ac:dyDescent="0.2">
      <c r="A770" s="76" t="s">
        <v>128</v>
      </c>
      <c r="B770" s="88">
        <f>B771+B772+B773</f>
        <v>60247</v>
      </c>
      <c r="C770" s="88">
        <f>C771+C772+C773</f>
        <v>-18516</v>
      </c>
      <c r="D770" s="549">
        <f>D771+D772+D773</f>
        <v>-5352</v>
      </c>
      <c r="E770" s="88">
        <f t="shared" si="156"/>
        <v>36379</v>
      </c>
      <c r="F770" s="549">
        <f>F771+F772+F773</f>
        <v>57813</v>
      </c>
      <c r="G770" s="549">
        <f t="shared" si="152"/>
        <v>-2434</v>
      </c>
      <c r="H770" s="815">
        <f t="shared" si="153"/>
        <v>-4.0400351884741149E-2</v>
      </c>
      <c r="I770" s="549">
        <f t="shared" si="154"/>
        <v>21434</v>
      </c>
      <c r="J770" s="815">
        <f t="shared" si="155"/>
        <v>0.58918606888589575</v>
      </c>
    </row>
    <row r="771" spans="1:10" x14ac:dyDescent="0.2">
      <c r="A771" s="77" t="s">
        <v>168</v>
      </c>
      <c r="B771" s="90">
        <v>15300</v>
      </c>
      <c r="C771" s="90">
        <v>-6450</v>
      </c>
      <c r="D771" s="558">
        <v>-5352</v>
      </c>
      <c r="E771" s="90">
        <f t="shared" si="156"/>
        <v>3498</v>
      </c>
      <c r="F771" s="558"/>
      <c r="G771" s="558">
        <f t="shared" si="152"/>
        <v>-15300</v>
      </c>
      <c r="H771" s="814">
        <f t="shared" si="153"/>
        <v>-1</v>
      </c>
      <c r="I771" s="558">
        <f t="shared" si="154"/>
        <v>-3498</v>
      </c>
      <c r="J771" s="814">
        <f t="shared" si="155"/>
        <v>-1</v>
      </c>
    </row>
    <row r="772" spans="1:10" x14ac:dyDescent="0.2">
      <c r="A772" s="79" t="s">
        <v>284</v>
      </c>
      <c r="B772" s="89">
        <v>1881</v>
      </c>
      <c r="C772" s="89"/>
      <c r="D772" s="553"/>
      <c r="E772" s="90">
        <f t="shared" si="156"/>
        <v>1881</v>
      </c>
      <c r="F772" s="553">
        <v>2000</v>
      </c>
      <c r="G772" s="553">
        <f t="shared" si="152"/>
        <v>119</v>
      </c>
      <c r="H772" s="819">
        <f t="shared" si="153"/>
        <v>6.3264221158957995E-2</v>
      </c>
      <c r="I772" s="553">
        <f t="shared" si="154"/>
        <v>119</v>
      </c>
      <c r="J772" s="819">
        <f t="shared" si="155"/>
        <v>6.3264221158957995E-2</v>
      </c>
    </row>
    <row r="773" spans="1:10" ht="25.5" x14ac:dyDescent="0.2">
      <c r="A773" s="79" t="s">
        <v>175</v>
      </c>
      <c r="B773" s="89">
        <v>43066</v>
      </c>
      <c r="C773" s="89">
        <v>-12066</v>
      </c>
      <c r="D773" s="553"/>
      <c r="E773" s="90">
        <f t="shared" si="156"/>
        <v>31000</v>
      </c>
      <c r="F773" s="553">
        <v>55813</v>
      </c>
      <c r="G773" s="553">
        <f t="shared" si="152"/>
        <v>12747</v>
      </c>
      <c r="H773" s="819">
        <f t="shared" si="153"/>
        <v>0.2959875539869038</v>
      </c>
      <c r="I773" s="553">
        <f t="shared" si="154"/>
        <v>24813</v>
      </c>
      <c r="J773" s="819">
        <f t="shared" si="155"/>
        <v>0.80041935483870963</v>
      </c>
    </row>
    <row r="774" spans="1:10" x14ac:dyDescent="0.2">
      <c r="A774" s="79"/>
      <c r="B774" s="89"/>
      <c r="C774" s="89"/>
      <c r="D774" s="553"/>
      <c r="E774" s="89">
        <f t="shared" si="156"/>
        <v>0</v>
      </c>
      <c r="F774" s="553"/>
      <c r="G774" s="553">
        <f t="shared" ref="G774:G805" si="157">F774-B774</f>
        <v>0</v>
      </c>
      <c r="H774" s="819"/>
      <c r="I774" s="553">
        <f t="shared" ref="I774:I805" si="158">F774-E774</f>
        <v>0</v>
      </c>
      <c r="J774" s="819"/>
    </row>
    <row r="775" spans="1:10" x14ac:dyDescent="0.2">
      <c r="A775" s="76" t="s">
        <v>1113</v>
      </c>
      <c r="B775" s="88">
        <f>B776+B779</f>
        <v>9320</v>
      </c>
      <c r="C775" s="88">
        <f>C776+C779</f>
        <v>-2000</v>
      </c>
      <c r="D775" s="549">
        <f>D776+D779</f>
        <v>0</v>
      </c>
      <c r="E775" s="88">
        <f t="shared" si="156"/>
        <v>7320</v>
      </c>
      <c r="F775" s="549">
        <f>F776+F779</f>
        <v>8320</v>
      </c>
      <c r="G775" s="549">
        <f t="shared" si="157"/>
        <v>-1000</v>
      </c>
      <c r="H775" s="815">
        <f t="shared" ref="H775:H805" si="159">G775/B775</f>
        <v>-0.1072961373390558</v>
      </c>
      <c r="I775" s="549">
        <f t="shared" si="158"/>
        <v>1000</v>
      </c>
      <c r="J775" s="815">
        <f t="shared" ref="J775:J805" si="160">I775/E775</f>
        <v>0.13661202185792351</v>
      </c>
    </row>
    <row r="776" spans="1:10" x14ac:dyDescent="0.2">
      <c r="A776" s="76" t="s">
        <v>129</v>
      </c>
      <c r="B776" s="88">
        <f>B777+B778</f>
        <v>8000</v>
      </c>
      <c r="C776" s="88">
        <f>C777+C778</f>
        <v>-2000</v>
      </c>
      <c r="D776" s="549">
        <f>D777+D778</f>
        <v>0</v>
      </c>
      <c r="E776" s="88">
        <f t="shared" si="156"/>
        <v>6000</v>
      </c>
      <c r="F776" s="549">
        <f>F777+F778</f>
        <v>7000</v>
      </c>
      <c r="G776" s="549">
        <f t="shared" si="157"/>
        <v>-1000</v>
      </c>
      <c r="H776" s="815">
        <f t="shared" si="159"/>
        <v>-0.125</v>
      </c>
      <c r="I776" s="549">
        <f t="shared" si="158"/>
        <v>1000</v>
      </c>
      <c r="J776" s="815">
        <f t="shared" si="160"/>
        <v>0.16666666666666666</v>
      </c>
    </row>
    <row r="777" spans="1:10" x14ac:dyDescent="0.2">
      <c r="A777" s="77" t="s">
        <v>313</v>
      </c>
      <c r="B777" s="90">
        <v>5000</v>
      </c>
      <c r="C777" s="90">
        <v>-2000</v>
      </c>
      <c r="D777" s="558"/>
      <c r="E777" s="90">
        <f t="shared" si="156"/>
        <v>3000</v>
      </c>
      <c r="F777" s="558">
        <v>5000</v>
      </c>
      <c r="G777" s="558">
        <f t="shared" si="157"/>
        <v>0</v>
      </c>
      <c r="H777" s="814">
        <f t="shared" si="159"/>
        <v>0</v>
      </c>
      <c r="I777" s="558">
        <f t="shared" si="158"/>
        <v>2000</v>
      </c>
      <c r="J777" s="814">
        <f t="shared" si="160"/>
        <v>0.66666666666666663</v>
      </c>
    </row>
    <row r="778" spans="1:10" x14ac:dyDescent="0.2">
      <c r="A778" s="79" t="s">
        <v>172</v>
      </c>
      <c r="B778" s="89">
        <v>3000</v>
      </c>
      <c r="C778" s="89"/>
      <c r="D778" s="553"/>
      <c r="E778" s="89">
        <f t="shared" si="156"/>
        <v>3000</v>
      </c>
      <c r="F778" s="553">
        <v>2000</v>
      </c>
      <c r="G778" s="553">
        <f t="shared" si="157"/>
        <v>-1000</v>
      </c>
      <c r="H778" s="819">
        <f t="shared" si="159"/>
        <v>-0.33333333333333331</v>
      </c>
      <c r="I778" s="553">
        <f t="shared" si="158"/>
        <v>-1000</v>
      </c>
      <c r="J778" s="819">
        <f t="shared" si="160"/>
        <v>-0.33333333333333331</v>
      </c>
    </row>
    <row r="779" spans="1:10" x14ac:dyDescent="0.2">
      <c r="A779" s="76" t="s">
        <v>124</v>
      </c>
      <c r="B779" s="88">
        <f>B780</f>
        <v>1320</v>
      </c>
      <c r="C779" s="88">
        <f>C780</f>
        <v>0</v>
      </c>
      <c r="D779" s="549">
        <f>D780</f>
        <v>0</v>
      </c>
      <c r="E779" s="88">
        <f t="shared" si="156"/>
        <v>1320</v>
      </c>
      <c r="F779" s="549">
        <f>F780</f>
        <v>1320</v>
      </c>
      <c r="G779" s="549">
        <f t="shared" si="157"/>
        <v>0</v>
      </c>
      <c r="H779" s="815">
        <f t="shared" si="159"/>
        <v>0</v>
      </c>
      <c r="I779" s="549">
        <f t="shared" si="158"/>
        <v>0</v>
      </c>
      <c r="J779" s="815">
        <f t="shared" si="160"/>
        <v>0</v>
      </c>
    </row>
    <row r="780" spans="1:10" x14ac:dyDescent="0.2">
      <c r="A780" s="77" t="s">
        <v>162</v>
      </c>
      <c r="B780" s="90">
        <v>1320</v>
      </c>
      <c r="C780" s="90"/>
      <c r="D780" s="558"/>
      <c r="E780" s="90">
        <f t="shared" si="156"/>
        <v>1320</v>
      </c>
      <c r="F780" s="558">
        <v>1320</v>
      </c>
      <c r="G780" s="558">
        <f t="shared" si="157"/>
        <v>0</v>
      </c>
      <c r="H780" s="814">
        <f t="shared" si="159"/>
        <v>0</v>
      </c>
      <c r="I780" s="558">
        <f t="shared" si="158"/>
        <v>0</v>
      </c>
      <c r="J780" s="814">
        <f t="shared" si="160"/>
        <v>0</v>
      </c>
    </row>
    <row r="781" spans="1:10" x14ac:dyDescent="0.2">
      <c r="A781" s="77"/>
      <c r="B781" s="90"/>
      <c r="C781" s="90"/>
      <c r="D781" s="90"/>
      <c r="E781" s="90">
        <f t="shared" si="156"/>
        <v>0</v>
      </c>
      <c r="F781" s="90"/>
      <c r="G781" s="90">
        <f t="shared" si="157"/>
        <v>0</v>
      </c>
      <c r="H781" s="527"/>
      <c r="I781" s="90">
        <f t="shared" si="158"/>
        <v>0</v>
      </c>
      <c r="J781" s="527"/>
    </row>
    <row r="782" spans="1:10" x14ac:dyDescent="0.2">
      <c r="A782" s="78" t="s">
        <v>49</v>
      </c>
      <c r="B782" s="87">
        <f>B5+B10+B19+B47+B55+B126+B275+B367+B379+B387+B436+B451+B481+B525+B551+B614+B655+B707+B737+B442</f>
        <v>89093898</v>
      </c>
      <c r="C782" s="87">
        <f>C5+C10+C19+C47+C55+C126+C275+C367+C379+C387+C436+C451+C481+C525+C551+C614+C655+C707+C737+C442</f>
        <v>-6118096</v>
      </c>
      <c r="D782" s="87">
        <f>D5+D10+D19+D47+D55+D126+D275+D367+D379+D387+D436+D451+D481+D525+D551+D614+D655+D707+D737+D442</f>
        <v>-1095134</v>
      </c>
      <c r="E782" s="87">
        <f t="shared" si="156"/>
        <v>81880668</v>
      </c>
      <c r="F782" s="87">
        <f>F5+F10+F19+F47+F55+F126+F275+F367+F379+F387+F436+F451+F481+F525+F551+F614+F655+F707+F737+F442</f>
        <v>89458539</v>
      </c>
      <c r="G782" s="87">
        <f t="shared" si="157"/>
        <v>364641</v>
      </c>
      <c r="H782" s="523">
        <f t="shared" si="159"/>
        <v>4.0927718753533491E-3</v>
      </c>
      <c r="I782" s="87">
        <f t="shared" si="158"/>
        <v>7577871</v>
      </c>
      <c r="J782" s="523">
        <f t="shared" si="160"/>
        <v>9.2547742771224101E-2</v>
      </c>
    </row>
    <row r="783" spans="1:10" x14ac:dyDescent="0.2">
      <c r="A783" s="111"/>
      <c r="B783" s="244"/>
      <c r="C783" s="244"/>
      <c r="D783" s="244"/>
      <c r="E783" s="244">
        <f t="shared" ref="E783:E784" si="161">B783+C783</f>
        <v>0</v>
      </c>
      <c r="F783" s="244"/>
      <c r="G783" s="244">
        <f t="shared" si="157"/>
        <v>0</v>
      </c>
      <c r="H783" s="533"/>
      <c r="I783" s="244">
        <f t="shared" si="158"/>
        <v>0</v>
      </c>
      <c r="J783" s="533"/>
    </row>
    <row r="784" spans="1:10" x14ac:dyDescent="0.2">
      <c r="A784" s="111"/>
      <c r="B784" s="245"/>
      <c r="C784" s="245"/>
      <c r="D784" s="245"/>
      <c r="E784" s="245">
        <f t="shared" si="161"/>
        <v>0</v>
      </c>
      <c r="F784" s="245"/>
      <c r="G784" s="245">
        <f t="shared" si="157"/>
        <v>0</v>
      </c>
      <c r="H784" s="534"/>
      <c r="I784" s="245">
        <f t="shared" si="158"/>
        <v>0</v>
      </c>
      <c r="J784" s="534"/>
    </row>
    <row r="785" spans="1:10" x14ac:dyDescent="0.2">
      <c r="A785" s="4" t="s">
        <v>861</v>
      </c>
      <c r="B785" s="71">
        <f>B5</f>
        <v>28450</v>
      </c>
      <c r="C785" s="71">
        <f>C5</f>
        <v>-4950</v>
      </c>
      <c r="D785" s="71">
        <f>D5</f>
        <v>0</v>
      </c>
      <c r="E785" s="71">
        <f>E5</f>
        <v>23500</v>
      </c>
      <c r="F785" s="71">
        <f>F5</f>
        <v>28450</v>
      </c>
      <c r="G785" s="71">
        <f t="shared" si="157"/>
        <v>0</v>
      </c>
      <c r="H785" s="533">
        <f t="shared" si="159"/>
        <v>0</v>
      </c>
      <c r="I785" s="71">
        <f t="shared" si="158"/>
        <v>4950</v>
      </c>
      <c r="J785" s="533">
        <f t="shared" si="160"/>
        <v>0.21063829787234042</v>
      </c>
    </row>
    <row r="786" spans="1:10" x14ac:dyDescent="0.2">
      <c r="A786" s="4" t="s">
        <v>194</v>
      </c>
      <c r="B786" s="71">
        <f>B10</f>
        <v>75000</v>
      </c>
      <c r="C786" s="71">
        <f>C10</f>
        <v>0</v>
      </c>
      <c r="D786" s="71">
        <f>D10</f>
        <v>-30000</v>
      </c>
      <c r="E786" s="71">
        <f>E10</f>
        <v>45000</v>
      </c>
      <c r="F786" s="71">
        <f>F10</f>
        <v>75000</v>
      </c>
      <c r="G786" s="71">
        <f t="shared" si="157"/>
        <v>0</v>
      </c>
      <c r="H786" s="533">
        <f t="shared" si="159"/>
        <v>0</v>
      </c>
      <c r="I786" s="71">
        <f t="shared" si="158"/>
        <v>30000</v>
      </c>
      <c r="J786" s="533">
        <f t="shared" si="160"/>
        <v>0.66666666666666663</v>
      </c>
    </row>
    <row r="787" spans="1:10" x14ac:dyDescent="0.2">
      <c r="A787" s="6" t="s">
        <v>792</v>
      </c>
      <c r="B787" s="71">
        <f>B19</f>
        <v>5986979</v>
      </c>
      <c r="C787" s="71">
        <f>C19</f>
        <v>-116120</v>
      </c>
      <c r="D787" s="71">
        <f>D19</f>
        <v>-9150</v>
      </c>
      <c r="E787" s="71">
        <f>E19</f>
        <v>5861709</v>
      </c>
      <c r="F787" s="71">
        <f>F19</f>
        <v>5888879</v>
      </c>
      <c r="G787" s="71">
        <f t="shared" si="157"/>
        <v>-98100</v>
      </c>
      <c r="H787" s="533">
        <f t="shared" si="159"/>
        <v>-1.6385559394813311E-2</v>
      </c>
      <c r="I787" s="71">
        <f t="shared" si="158"/>
        <v>27170</v>
      </c>
      <c r="J787" s="533">
        <f t="shared" si="160"/>
        <v>4.6351669794594038E-3</v>
      </c>
    </row>
    <row r="788" spans="1:10" x14ac:dyDescent="0.2">
      <c r="A788" s="4" t="s">
        <v>195</v>
      </c>
      <c r="B788" s="71">
        <f>B47</f>
        <v>287801</v>
      </c>
      <c r="C788" s="71">
        <f>C47</f>
        <v>-89593</v>
      </c>
      <c r="D788" s="71">
        <f>D47</f>
        <v>0</v>
      </c>
      <c r="E788" s="71">
        <f>E47</f>
        <v>198208</v>
      </c>
      <c r="F788" s="71">
        <f>F47</f>
        <v>265541</v>
      </c>
      <c r="G788" s="71">
        <f t="shared" si="157"/>
        <v>-22260</v>
      </c>
      <c r="H788" s="533">
        <f t="shared" si="159"/>
        <v>-7.7345109989193916E-2</v>
      </c>
      <c r="I788" s="71">
        <f t="shared" si="158"/>
        <v>67333</v>
      </c>
      <c r="J788" s="533">
        <f t="shared" si="160"/>
        <v>0.33970879076525667</v>
      </c>
    </row>
    <row r="789" spans="1:10" x14ac:dyDescent="0.2">
      <c r="A789" s="4" t="s">
        <v>120</v>
      </c>
      <c r="B789" s="71">
        <f>B55</f>
        <v>32895770</v>
      </c>
      <c r="C789" s="71">
        <f>C55</f>
        <v>-7115750</v>
      </c>
      <c r="D789" s="71">
        <f>D55</f>
        <v>-749900</v>
      </c>
      <c r="E789" s="71">
        <f>E55</f>
        <v>25030120</v>
      </c>
      <c r="F789" s="71">
        <f>F55</f>
        <v>28946290</v>
      </c>
      <c r="G789" s="71">
        <f t="shared" si="157"/>
        <v>-3949480</v>
      </c>
      <c r="H789" s="533">
        <f t="shared" si="159"/>
        <v>-0.12006042114229276</v>
      </c>
      <c r="I789" s="71">
        <f t="shared" si="158"/>
        <v>3916170</v>
      </c>
      <c r="J789" s="533">
        <f t="shared" si="160"/>
        <v>0.15645829904131503</v>
      </c>
    </row>
    <row r="790" spans="1:10" x14ac:dyDescent="0.2">
      <c r="A790" s="4" t="s">
        <v>783</v>
      </c>
      <c r="B790" s="71">
        <f>B126</f>
        <v>9324758</v>
      </c>
      <c r="C790" s="71">
        <f>C126</f>
        <v>-1184734</v>
      </c>
      <c r="D790" s="71">
        <f>D126</f>
        <v>-1068151</v>
      </c>
      <c r="E790" s="71">
        <f>E126</f>
        <v>7071873</v>
      </c>
      <c r="F790" s="71">
        <f>F126</f>
        <v>9431620</v>
      </c>
      <c r="G790" s="71">
        <f t="shared" si="157"/>
        <v>106862</v>
      </c>
      <c r="H790" s="533">
        <f t="shared" si="159"/>
        <v>1.1460029311216442E-2</v>
      </c>
      <c r="I790" s="71">
        <f t="shared" si="158"/>
        <v>2359747</v>
      </c>
      <c r="J790" s="533">
        <f t="shared" si="160"/>
        <v>0.33368062463791415</v>
      </c>
    </row>
    <row r="791" spans="1:10" x14ac:dyDescent="0.2">
      <c r="A791" s="4" t="s">
        <v>202</v>
      </c>
      <c r="B791" s="71">
        <f>B275</f>
        <v>20144140</v>
      </c>
      <c r="C791" s="71">
        <f>C275</f>
        <v>3496463</v>
      </c>
      <c r="D791" s="71">
        <f>D275</f>
        <v>1767490</v>
      </c>
      <c r="E791" s="71">
        <f t="shared" ref="E791:F791" si="162">E275</f>
        <v>25408093</v>
      </c>
      <c r="F791" s="71">
        <f t="shared" si="162"/>
        <v>23221948</v>
      </c>
      <c r="G791" s="71">
        <f t="shared" si="157"/>
        <v>3077808</v>
      </c>
      <c r="H791" s="533">
        <f t="shared" si="159"/>
        <v>0.15278924789045351</v>
      </c>
      <c r="I791" s="71">
        <f t="shared" si="158"/>
        <v>-2186145</v>
      </c>
      <c r="J791" s="533">
        <f t="shared" si="160"/>
        <v>-8.6041286136665202E-2</v>
      </c>
    </row>
    <row r="792" spans="1:10" x14ac:dyDescent="0.2">
      <c r="A792" s="6" t="s">
        <v>110</v>
      </c>
      <c r="B792" s="71">
        <f>B367</f>
        <v>5895341</v>
      </c>
      <c r="C792" s="71">
        <f>C367</f>
        <v>835200</v>
      </c>
      <c r="D792" s="71">
        <f>D367</f>
        <v>-154500</v>
      </c>
      <c r="E792" s="71">
        <f t="shared" ref="E792:F792" si="163">E367</f>
        <v>6576041</v>
      </c>
      <c r="F792" s="71">
        <f t="shared" si="163"/>
        <v>6853000</v>
      </c>
      <c r="G792" s="71">
        <f t="shared" si="157"/>
        <v>957659</v>
      </c>
      <c r="H792" s="533">
        <f t="shared" si="159"/>
        <v>0.16244335993456527</v>
      </c>
      <c r="I792" s="71">
        <f t="shared" si="158"/>
        <v>276959</v>
      </c>
      <c r="J792" s="533">
        <f t="shared" si="160"/>
        <v>4.2116373666161756E-2</v>
      </c>
    </row>
    <row r="793" spans="1:10" x14ac:dyDescent="0.2">
      <c r="A793" s="6" t="s">
        <v>107</v>
      </c>
      <c r="B793" s="71">
        <f>B379</f>
        <v>1339290</v>
      </c>
      <c r="C793" s="71">
        <f>C379</f>
        <v>-5635</v>
      </c>
      <c r="D793" s="71">
        <f>D379</f>
        <v>0</v>
      </c>
      <c r="E793" s="71">
        <f t="shared" ref="E793:F793" si="164">E379</f>
        <v>1333655</v>
      </c>
      <c r="F793" s="71">
        <f t="shared" si="164"/>
        <v>1367700</v>
      </c>
      <c r="G793" s="71">
        <f t="shared" si="157"/>
        <v>28410</v>
      </c>
      <c r="H793" s="533">
        <f t="shared" si="159"/>
        <v>2.1212732119257217E-2</v>
      </c>
      <c r="I793" s="71">
        <f t="shared" si="158"/>
        <v>34045</v>
      </c>
      <c r="J793" s="533">
        <f t="shared" si="160"/>
        <v>2.5527591468558212E-2</v>
      </c>
    </row>
    <row r="794" spans="1:10" x14ac:dyDescent="0.2">
      <c r="A794" s="6" t="s">
        <v>531</v>
      </c>
      <c r="B794" s="71">
        <f>B387</f>
        <v>3463227</v>
      </c>
      <c r="C794" s="71">
        <f>C387</f>
        <v>-98426</v>
      </c>
      <c r="D794" s="71">
        <f>D387</f>
        <v>-43449</v>
      </c>
      <c r="E794" s="71">
        <f t="shared" ref="E794:F794" si="165">E387</f>
        <v>3321352</v>
      </c>
      <c r="F794" s="71">
        <f t="shared" si="165"/>
        <v>3622320</v>
      </c>
      <c r="G794" s="71">
        <f t="shared" si="157"/>
        <v>159093</v>
      </c>
      <c r="H794" s="533">
        <f t="shared" si="159"/>
        <v>4.5937791545284212E-2</v>
      </c>
      <c r="I794" s="71">
        <f t="shared" si="158"/>
        <v>300968</v>
      </c>
      <c r="J794" s="533">
        <f t="shared" si="160"/>
        <v>9.0616110547752843E-2</v>
      </c>
    </row>
    <row r="795" spans="1:10" x14ac:dyDescent="0.2">
      <c r="A795" s="4" t="s">
        <v>901</v>
      </c>
      <c r="B795" s="71">
        <f>B436</f>
        <v>9600</v>
      </c>
      <c r="C795" s="71">
        <f>C436</f>
        <v>0</v>
      </c>
      <c r="D795" s="71">
        <f>D436</f>
        <v>0</v>
      </c>
      <c r="E795" s="71">
        <f t="shared" ref="E795:F795" si="166">E436</f>
        <v>9600</v>
      </c>
      <c r="F795" s="71">
        <f t="shared" si="166"/>
        <v>9600</v>
      </c>
      <c r="G795" s="71">
        <f t="shared" si="157"/>
        <v>0</v>
      </c>
      <c r="H795" s="533">
        <f t="shared" si="159"/>
        <v>0</v>
      </c>
      <c r="I795" s="71">
        <f t="shared" si="158"/>
        <v>0</v>
      </c>
      <c r="J795" s="533">
        <f t="shared" si="160"/>
        <v>0</v>
      </c>
    </row>
    <row r="796" spans="1:10" x14ac:dyDescent="0.2">
      <c r="A796" s="4" t="s">
        <v>902</v>
      </c>
      <c r="B796" s="71">
        <f>B442</f>
        <v>0</v>
      </c>
      <c r="C796" s="71">
        <f>C442</f>
        <v>0</v>
      </c>
      <c r="D796" s="71">
        <f>D442</f>
        <v>0</v>
      </c>
      <c r="E796" s="71">
        <f t="shared" ref="E796:F796" si="167">E442</f>
        <v>0</v>
      </c>
      <c r="F796" s="71">
        <f t="shared" si="167"/>
        <v>20000</v>
      </c>
      <c r="G796" s="71">
        <f t="shared" si="157"/>
        <v>20000</v>
      </c>
      <c r="H796" s="533"/>
      <c r="I796" s="71">
        <f t="shared" si="158"/>
        <v>20000</v>
      </c>
      <c r="J796" s="533"/>
    </row>
    <row r="797" spans="1:10" x14ac:dyDescent="0.2">
      <c r="A797" s="4" t="s">
        <v>270</v>
      </c>
      <c r="B797" s="71">
        <f>B451</f>
        <v>476820</v>
      </c>
      <c r="C797" s="71">
        <f>C451</f>
        <v>-37640</v>
      </c>
      <c r="D797" s="71">
        <f>D451</f>
        <v>-14800</v>
      </c>
      <c r="E797" s="71">
        <f t="shared" ref="E797:F797" si="168">E451</f>
        <v>424380</v>
      </c>
      <c r="F797" s="71">
        <f t="shared" si="168"/>
        <v>483330</v>
      </c>
      <c r="G797" s="71">
        <f t="shared" si="157"/>
        <v>6510</v>
      </c>
      <c r="H797" s="533">
        <f t="shared" si="159"/>
        <v>1.3652950799043665E-2</v>
      </c>
      <c r="I797" s="71">
        <f t="shared" si="158"/>
        <v>58950</v>
      </c>
      <c r="J797" s="533">
        <f t="shared" si="160"/>
        <v>0.13890852537819878</v>
      </c>
    </row>
    <row r="798" spans="1:10" x14ac:dyDescent="0.2">
      <c r="A798" s="4" t="s">
        <v>468</v>
      </c>
      <c r="B798" s="71">
        <f>B481</f>
        <v>4634610</v>
      </c>
      <c r="C798" s="71">
        <f>C481</f>
        <v>-1559400</v>
      </c>
      <c r="D798" s="71">
        <f>D481</f>
        <v>-723450</v>
      </c>
      <c r="E798" s="71">
        <f t="shared" ref="E798:F798" si="169">E481</f>
        <v>2351760</v>
      </c>
      <c r="F798" s="71">
        <f t="shared" si="169"/>
        <v>4483100</v>
      </c>
      <c r="G798" s="71">
        <f t="shared" si="157"/>
        <v>-151510</v>
      </c>
      <c r="H798" s="533">
        <f t="shared" si="159"/>
        <v>-3.2690992338082384E-2</v>
      </c>
      <c r="I798" s="71">
        <f t="shared" si="158"/>
        <v>2131340</v>
      </c>
      <c r="J798" s="533">
        <f t="shared" si="160"/>
        <v>0.90627444977378646</v>
      </c>
    </row>
    <row r="799" spans="1:10" x14ac:dyDescent="0.2">
      <c r="A799" s="4" t="s">
        <v>277</v>
      </c>
      <c r="B799" s="71">
        <f>B525</f>
        <v>329796</v>
      </c>
      <c r="C799" s="71">
        <f>C525</f>
        <v>17475</v>
      </c>
      <c r="D799" s="71">
        <f>D525</f>
        <v>10190</v>
      </c>
      <c r="E799" s="71">
        <f t="shared" ref="E799:F799" si="170">E525</f>
        <v>357461</v>
      </c>
      <c r="F799" s="71">
        <f t="shared" si="170"/>
        <v>336203</v>
      </c>
      <c r="G799" s="71">
        <f t="shared" si="157"/>
        <v>6407</v>
      </c>
      <c r="H799" s="533">
        <f t="shared" si="159"/>
        <v>1.9427161032880932E-2</v>
      </c>
      <c r="I799" s="71">
        <f t="shared" si="158"/>
        <v>-21258</v>
      </c>
      <c r="J799" s="533">
        <f t="shared" si="160"/>
        <v>-5.9469424636533777E-2</v>
      </c>
    </row>
    <row r="800" spans="1:10" x14ac:dyDescent="0.2">
      <c r="A800" s="4" t="s">
        <v>278</v>
      </c>
      <c r="B800" s="71">
        <f>B551</f>
        <v>986945</v>
      </c>
      <c r="C800" s="71">
        <f>C551</f>
        <v>-5185</v>
      </c>
      <c r="D800" s="71">
        <f>D551</f>
        <v>31245</v>
      </c>
      <c r="E800" s="71">
        <f t="shared" ref="E800:F800" si="171">E551</f>
        <v>1013005</v>
      </c>
      <c r="F800" s="71">
        <f t="shared" si="171"/>
        <v>997575</v>
      </c>
      <c r="G800" s="71">
        <f t="shared" si="157"/>
        <v>10630</v>
      </c>
      <c r="H800" s="533">
        <f t="shared" si="159"/>
        <v>1.0770610317697542E-2</v>
      </c>
      <c r="I800" s="71">
        <f t="shared" si="158"/>
        <v>-15430</v>
      </c>
      <c r="J800" s="533">
        <f t="shared" si="160"/>
        <v>-1.5231909023153883E-2</v>
      </c>
    </row>
    <row r="801" spans="1:10" x14ac:dyDescent="0.2">
      <c r="A801" s="4" t="s">
        <v>279</v>
      </c>
      <c r="B801" s="71">
        <f>B614</f>
        <v>837847</v>
      </c>
      <c r="C801" s="71">
        <f t="shared" ref="C801:D801" si="172">C614</f>
        <v>-16231</v>
      </c>
      <c r="D801" s="71">
        <f t="shared" si="172"/>
        <v>-60343</v>
      </c>
      <c r="E801" s="71">
        <f t="shared" ref="E801:F801" si="173">E614</f>
        <v>761273</v>
      </c>
      <c r="F801" s="71">
        <f t="shared" si="173"/>
        <v>862275</v>
      </c>
      <c r="G801" s="71">
        <f t="shared" si="157"/>
        <v>24428</v>
      </c>
      <c r="H801" s="533">
        <f t="shared" si="159"/>
        <v>2.9155681168518834E-2</v>
      </c>
      <c r="I801" s="71">
        <f t="shared" si="158"/>
        <v>101002</v>
      </c>
      <c r="J801" s="533">
        <f t="shared" si="160"/>
        <v>0.13267513756563021</v>
      </c>
    </row>
    <row r="802" spans="1:10" x14ac:dyDescent="0.2">
      <c r="A802" s="4" t="s">
        <v>280</v>
      </c>
      <c r="B802" s="71">
        <f>B655</f>
        <v>769195</v>
      </c>
      <c r="C802" s="71">
        <f t="shared" ref="C802:D802" si="174">C655</f>
        <v>-103200</v>
      </c>
      <c r="D802" s="71">
        <f t="shared" si="174"/>
        <v>-33800</v>
      </c>
      <c r="E802" s="71">
        <f t="shared" ref="E802:F802" si="175">E655</f>
        <v>632195</v>
      </c>
      <c r="F802" s="71">
        <f t="shared" si="175"/>
        <v>772655</v>
      </c>
      <c r="G802" s="71">
        <f t="shared" si="157"/>
        <v>3460</v>
      </c>
      <c r="H802" s="533">
        <f t="shared" si="159"/>
        <v>4.498209166726253E-3</v>
      </c>
      <c r="I802" s="71">
        <f t="shared" si="158"/>
        <v>140460</v>
      </c>
      <c r="J802" s="533">
        <f t="shared" si="160"/>
        <v>0.22217828359920594</v>
      </c>
    </row>
    <row r="803" spans="1:10" x14ac:dyDescent="0.2">
      <c r="A803" s="4" t="s">
        <v>281</v>
      </c>
      <c r="B803" s="71">
        <f>B707</f>
        <v>284545</v>
      </c>
      <c r="C803" s="71">
        <f t="shared" ref="C803:D803" si="176">C707</f>
        <v>-42540</v>
      </c>
      <c r="D803" s="71">
        <f t="shared" si="176"/>
        <v>-17050</v>
      </c>
      <c r="E803" s="71">
        <f t="shared" ref="E803:F803" si="177">E707</f>
        <v>224955</v>
      </c>
      <c r="F803" s="71">
        <f t="shared" si="177"/>
        <v>268940</v>
      </c>
      <c r="G803" s="71">
        <f t="shared" si="157"/>
        <v>-15605</v>
      </c>
      <c r="H803" s="533">
        <f t="shared" si="159"/>
        <v>-5.4841940642077702E-2</v>
      </c>
      <c r="I803" s="71">
        <f t="shared" si="158"/>
        <v>43985</v>
      </c>
      <c r="J803" s="533">
        <f t="shared" si="160"/>
        <v>0.19552799448778643</v>
      </c>
    </row>
    <row r="804" spans="1:10" x14ac:dyDescent="0.2">
      <c r="A804" s="4" t="s">
        <v>282</v>
      </c>
      <c r="B804" s="71">
        <f>B737</f>
        <v>1323784</v>
      </c>
      <c r="C804" s="71">
        <f t="shared" ref="C804:D804" si="178">C737</f>
        <v>-87830</v>
      </c>
      <c r="D804" s="71">
        <f t="shared" si="178"/>
        <v>534</v>
      </c>
      <c r="E804" s="71">
        <f t="shared" ref="E804:F804" si="179">E737</f>
        <v>1236488</v>
      </c>
      <c r="F804" s="71">
        <f t="shared" si="179"/>
        <v>1524113</v>
      </c>
      <c r="G804" s="71">
        <f t="shared" si="157"/>
        <v>200329</v>
      </c>
      <c r="H804" s="533">
        <f t="shared" si="159"/>
        <v>0.15133057961117524</v>
      </c>
      <c r="I804" s="71">
        <f t="shared" si="158"/>
        <v>287625</v>
      </c>
      <c r="J804" s="533">
        <f t="shared" si="160"/>
        <v>0.23261446936808122</v>
      </c>
    </row>
    <row r="805" spans="1:10" x14ac:dyDescent="0.2">
      <c r="A805" s="467" t="s">
        <v>903</v>
      </c>
      <c r="B805" s="33">
        <f>SUM(B785:B804)</f>
        <v>89093898</v>
      </c>
      <c r="C805" s="33">
        <f t="shared" ref="C805:D805" si="180">SUM(C785:C804)</f>
        <v>-6118096</v>
      </c>
      <c r="D805" s="33">
        <f t="shared" si="180"/>
        <v>-1095134</v>
      </c>
      <c r="E805" s="33">
        <f t="shared" ref="E805:F805" si="181">SUM(E785:E804)</f>
        <v>81880668</v>
      </c>
      <c r="F805" s="33">
        <f t="shared" si="181"/>
        <v>89458539</v>
      </c>
      <c r="G805" s="33">
        <f t="shared" si="157"/>
        <v>364641</v>
      </c>
      <c r="H805" s="535">
        <f t="shared" si="159"/>
        <v>4.0927718753533491E-3</v>
      </c>
      <c r="I805" s="33">
        <f t="shared" si="158"/>
        <v>7577871</v>
      </c>
      <c r="J805" s="535">
        <f t="shared" si="160"/>
        <v>9.2547742771224101E-2</v>
      </c>
    </row>
    <row r="806" spans="1:10" x14ac:dyDescent="0.2">
      <c r="A806" s="106"/>
      <c r="B806" s="71">
        <f>B805-B782</f>
        <v>0</v>
      </c>
      <c r="C806" s="71"/>
      <c r="D806" s="71"/>
      <c r="E806" s="71"/>
      <c r="F806" s="71"/>
      <c r="G806" s="71"/>
      <c r="H806" s="533"/>
    </row>
    <row r="807" spans="1:10" x14ac:dyDescent="0.2">
      <c r="A807" s="103"/>
      <c r="B807" s="244"/>
      <c r="C807" s="244"/>
      <c r="D807" s="244"/>
      <c r="E807" s="244"/>
      <c r="F807" s="244"/>
      <c r="G807" s="244"/>
      <c r="H807" s="244"/>
    </row>
    <row r="808" spans="1:10" x14ac:dyDescent="0.2">
      <c r="A808" s="103"/>
      <c r="B808" s="244"/>
      <c r="C808" s="244"/>
      <c r="D808" s="244"/>
      <c r="E808" s="244"/>
      <c r="F808" s="244"/>
      <c r="G808" s="244"/>
      <c r="H808" s="244"/>
    </row>
    <row r="809" spans="1:10" x14ac:dyDescent="0.2">
      <c r="A809" s="109"/>
      <c r="B809" s="244"/>
      <c r="C809" s="244"/>
      <c r="D809" s="244"/>
      <c r="E809" s="244"/>
      <c r="F809" s="244"/>
      <c r="G809" s="244"/>
      <c r="H809" s="244"/>
    </row>
    <row r="810" spans="1:10" x14ac:dyDescent="0.2">
      <c r="A810" s="113"/>
      <c r="B810" s="244"/>
      <c r="C810" s="244"/>
      <c r="D810" s="244"/>
      <c r="E810" s="244"/>
      <c r="F810" s="244"/>
      <c r="G810" s="244"/>
      <c r="H810" s="244"/>
    </row>
    <row r="811" spans="1:10" x14ac:dyDescent="0.2">
      <c r="A811" s="113"/>
      <c r="B811" s="244"/>
      <c r="C811" s="244"/>
      <c r="D811" s="244"/>
      <c r="E811" s="244"/>
      <c r="F811" s="244"/>
      <c r="G811" s="244"/>
      <c r="H811" s="244"/>
    </row>
    <row r="812" spans="1:10" x14ac:dyDescent="0.2">
      <c r="A812" s="98"/>
      <c r="B812" s="244"/>
      <c r="C812" s="244"/>
      <c r="D812" s="244"/>
      <c r="E812" s="244"/>
      <c r="F812" s="244"/>
      <c r="G812" s="244"/>
      <c r="H812" s="244"/>
    </row>
    <row r="813" spans="1:10" x14ac:dyDescent="0.2">
      <c r="A813" s="105"/>
      <c r="B813" s="244"/>
      <c r="C813" s="244"/>
      <c r="D813" s="244"/>
      <c r="E813" s="244"/>
      <c r="F813" s="244"/>
      <c r="G813" s="244"/>
      <c r="H813" s="244"/>
    </row>
    <row r="814" spans="1:10" x14ac:dyDescent="0.2">
      <c r="A814" s="106"/>
      <c r="B814" s="244"/>
      <c r="C814" s="244"/>
      <c r="D814" s="244"/>
      <c r="E814" s="244"/>
      <c r="F814" s="244"/>
      <c r="G814" s="244"/>
      <c r="H814" s="244"/>
    </row>
    <row r="815" spans="1:10" x14ac:dyDescent="0.2">
      <c r="A815" s="106"/>
      <c r="B815" s="244"/>
      <c r="C815" s="244"/>
      <c r="D815" s="244"/>
      <c r="E815" s="244"/>
      <c r="F815" s="244"/>
      <c r="G815" s="244"/>
      <c r="H815" s="244"/>
    </row>
    <row r="816" spans="1:10" x14ac:dyDescent="0.2">
      <c r="A816" s="109"/>
      <c r="B816" s="244"/>
      <c r="C816" s="244"/>
      <c r="D816" s="244"/>
      <c r="E816" s="244"/>
      <c r="F816" s="244"/>
      <c r="G816" s="244"/>
      <c r="H816" s="244"/>
    </row>
    <row r="817" spans="1:8" x14ac:dyDescent="0.2">
      <c r="A817" s="113"/>
      <c r="B817" s="244"/>
      <c r="C817" s="244"/>
      <c r="D817" s="244"/>
      <c r="E817" s="244"/>
      <c r="F817" s="244"/>
      <c r="G817" s="244"/>
      <c r="H817" s="244"/>
    </row>
    <row r="818" spans="1:8" x14ac:dyDescent="0.2">
      <c r="A818" s="98"/>
      <c r="B818" s="244"/>
      <c r="C818" s="244"/>
      <c r="D818" s="244"/>
      <c r="E818" s="244"/>
      <c r="F818" s="244"/>
      <c r="G818" s="244"/>
      <c r="H818" s="244"/>
    </row>
    <row r="819" spans="1:8" x14ac:dyDescent="0.2">
      <c r="A819" s="105"/>
      <c r="B819" s="244"/>
      <c r="C819" s="244"/>
      <c r="D819" s="244"/>
      <c r="E819" s="244"/>
      <c r="F819" s="244"/>
      <c r="G819" s="244"/>
      <c r="H819" s="244"/>
    </row>
    <row r="820" spans="1:8" x14ac:dyDescent="0.2">
      <c r="A820" s="106"/>
      <c r="B820" s="244"/>
      <c r="C820" s="244"/>
      <c r="D820" s="244"/>
      <c r="E820" s="244"/>
      <c r="F820" s="244"/>
      <c r="G820" s="244"/>
      <c r="H820" s="244"/>
    </row>
    <row r="821" spans="1:8" x14ac:dyDescent="0.2">
      <c r="A821" s="103"/>
      <c r="B821" s="244"/>
      <c r="C821" s="244"/>
      <c r="D821" s="244"/>
      <c r="E821" s="244"/>
      <c r="F821" s="244"/>
      <c r="G821" s="244"/>
      <c r="H821" s="244"/>
    </row>
    <row r="822" spans="1:8" x14ac:dyDescent="0.2">
      <c r="A822" s="98"/>
      <c r="B822" s="244"/>
      <c r="C822" s="244"/>
      <c r="D822" s="244"/>
      <c r="E822" s="244"/>
      <c r="F822" s="244"/>
      <c r="G822" s="244"/>
      <c r="H822" s="244"/>
    </row>
    <row r="823" spans="1:8" x14ac:dyDescent="0.2">
      <c r="A823" s="109"/>
      <c r="B823" s="244"/>
      <c r="C823" s="244"/>
      <c r="D823" s="244"/>
      <c r="E823" s="244"/>
      <c r="F823" s="244"/>
      <c r="G823" s="244"/>
      <c r="H823" s="244"/>
    </row>
    <row r="824" spans="1:8" x14ac:dyDescent="0.2">
      <c r="A824" s="110"/>
      <c r="B824" s="244"/>
      <c r="C824" s="244"/>
      <c r="D824" s="244"/>
    </row>
    <row r="825" spans="1:8" x14ac:dyDescent="0.2">
      <c r="A825" s="110"/>
      <c r="B825" s="244"/>
      <c r="C825" s="244"/>
      <c r="D825" s="244"/>
    </row>
    <row r="826" spans="1:8" x14ac:dyDescent="0.2">
      <c r="A826" s="105"/>
      <c r="B826" s="244"/>
      <c r="C826" s="244"/>
      <c r="D826" s="244"/>
    </row>
    <row r="827" spans="1:8" x14ac:dyDescent="0.2">
      <c r="A827" s="106"/>
      <c r="B827" s="244"/>
      <c r="C827" s="244"/>
      <c r="D827" s="244"/>
    </row>
    <row r="828" spans="1:8" x14ac:dyDescent="0.2">
      <c r="A828" s="103"/>
      <c r="B828" s="244"/>
      <c r="C828" s="244"/>
      <c r="D828" s="244"/>
    </row>
    <row r="829" spans="1:8" x14ac:dyDescent="0.2">
      <c r="A829" s="98"/>
      <c r="B829" s="244"/>
      <c r="C829" s="244"/>
      <c r="D829" s="244"/>
    </row>
    <row r="830" spans="1:8" x14ac:dyDescent="0.2">
      <c r="A830" s="109"/>
      <c r="B830" s="244"/>
      <c r="C830" s="244"/>
      <c r="D830" s="244"/>
    </row>
    <row r="831" spans="1:8" x14ac:dyDescent="0.2">
      <c r="A831" s="110"/>
      <c r="B831" s="244"/>
      <c r="C831" s="244"/>
      <c r="D831" s="244"/>
    </row>
    <row r="832" spans="1:8" x14ac:dyDescent="0.2">
      <c r="A832" s="6"/>
      <c r="B832" s="244"/>
      <c r="C832" s="244"/>
      <c r="D832" s="244"/>
    </row>
  </sheetData>
  <autoFilter ref="A3:J806" xr:uid="{6057852D-5B7A-46EA-865A-A86FAA8272FC}"/>
  <mergeCells count="3">
    <mergeCell ref="B2:E2"/>
    <mergeCell ref="G2:H2"/>
    <mergeCell ref="I2:J2"/>
  </mergeCells>
  <phoneticPr fontId="33" type="noConversion"/>
  <printOptions gridLines="1"/>
  <pageMargins left="1.1811023622047245" right="0.47244094488188981" top="0.47244094488188981" bottom="0.98425196850393704" header="0.51181102362204722" footer="0.51181102362204722"/>
  <pageSetup paperSize="9" scale="90" fitToHeight="0" orientation="landscape" r:id="rId1"/>
  <headerFooter alignWithMargins="0">
    <oddFooter>&amp;C&amp;P/&amp;N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6">
    <tabColor theme="9" tint="0.79998168889431442"/>
  </sheetPr>
  <dimension ref="A1:M145"/>
  <sheetViews>
    <sheetView showZeros="0" zoomScaleNormal="100" workbookViewId="0">
      <pane xSplit="1" ySplit="3" topLeftCell="B4" activePane="bottomRight" state="frozen"/>
      <selection activeCell="H16" sqref="H16:H20"/>
      <selection pane="topRight" activeCell="H16" sqref="H16:H20"/>
      <selection pane="bottomLeft" activeCell="H16" sqref="H16:H20"/>
      <selection pane="bottomRight"/>
    </sheetView>
  </sheetViews>
  <sheetFormatPr defaultColWidth="9.42578125" defaultRowHeight="12.75" x14ac:dyDescent="0.2"/>
  <cols>
    <col min="1" max="1" width="61.5703125" style="53" customWidth="1"/>
    <col min="2" max="2" width="12.5703125" style="797" customWidth="1"/>
    <col min="3" max="4" width="12.5703125" style="797" hidden="1" customWidth="1"/>
    <col min="5" max="6" width="12" style="796" bestFit="1" customWidth="1"/>
    <col min="7" max="7" width="13.5703125" style="796" customWidth="1"/>
    <col min="8" max="8" width="7.28515625" style="796" bestFit="1" customWidth="1"/>
    <col min="9" max="9" width="11.5703125" style="796" bestFit="1" customWidth="1"/>
    <col min="10" max="10" width="9.42578125" style="796"/>
    <col min="11" max="11" width="9.42578125" style="53"/>
    <col min="12" max="12" width="5" style="53" customWidth="1"/>
    <col min="13" max="16384" width="9.42578125" style="53"/>
  </cols>
  <sheetData>
    <row r="1" spans="1:11" ht="15" x14ac:dyDescent="0.25">
      <c r="A1" s="35" t="s">
        <v>1</v>
      </c>
    </row>
    <row r="2" spans="1:11" ht="30" customHeight="1" x14ac:dyDescent="0.25">
      <c r="A2" s="35"/>
      <c r="B2" s="1000">
        <v>2021</v>
      </c>
      <c r="C2" s="1001"/>
      <c r="D2" s="1001"/>
      <c r="E2" s="1002"/>
      <c r="F2" s="807">
        <v>2022</v>
      </c>
      <c r="G2" s="998" t="s">
        <v>1075</v>
      </c>
      <c r="H2" s="999"/>
      <c r="I2" s="996" t="s">
        <v>1076</v>
      </c>
      <c r="J2" s="997"/>
    </row>
    <row r="3" spans="1:11" ht="25.5" x14ac:dyDescent="0.2">
      <c r="A3" s="50"/>
      <c r="B3" s="813" t="s">
        <v>859</v>
      </c>
      <c r="C3" s="813" t="s">
        <v>984</v>
      </c>
      <c r="D3" s="813" t="s">
        <v>1066</v>
      </c>
      <c r="E3" s="813" t="s">
        <v>860</v>
      </c>
      <c r="F3" s="808" t="s">
        <v>1074</v>
      </c>
      <c r="G3" s="809" t="s">
        <v>53</v>
      </c>
      <c r="H3" s="810" t="s">
        <v>981</v>
      </c>
      <c r="I3" s="811" t="s">
        <v>53</v>
      </c>
      <c r="J3" s="812" t="s">
        <v>981</v>
      </c>
    </row>
    <row r="4" spans="1:11" ht="14.25" x14ac:dyDescent="0.2">
      <c r="A4" s="50"/>
      <c r="B4" s="152"/>
      <c r="C4" s="152"/>
      <c r="D4" s="152"/>
    </row>
    <row r="5" spans="1:11" x14ac:dyDescent="0.2">
      <c r="A5" s="21" t="s">
        <v>67</v>
      </c>
      <c r="B5" s="262">
        <f>B6+B25</f>
        <v>132280785</v>
      </c>
      <c r="C5" s="262">
        <f>C6+C25+C39</f>
        <v>16718129</v>
      </c>
      <c r="D5" s="262">
        <f>D6+D25</f>
        <v>-140699</v>
      </c>
      <c r="E5" s="262">
        <f>B5+C5+D5</f>
        <v>148858215</v>
      </c>
      <c r="F5" s="262">
        <f>F6+F25</f>
        <v>149860731</v>
      </c>
      <c r="G5" s="262">
        <f>F5-B5</f>
        <v>17579946</v>
      </c>
      <c r="H5" s="536">
        <f>G5/B5</f>
        <v>0.13289871238668563</v>
      </c>
      <c r="I5" s="262">
        <f>F5-E5</f>
        <v>1002516</v>
      </c>
      <c r="J5" s="536">
        <f>I5/E5</f>
        <v>6.734703892559776E-3</v>
      </c>
      <c r="K5" s="36"/>
    </row>
    <row r="6" spans="1:11" x14ac:dyDescent="0.2">
      <c r="A6" s="64" t="s">
        <v>5</v>
      </c>
      <c r="B6" s="498">
        <f>SUM(B7:B23)</f>
        <v>126920774</v>
      </c>
      <c r="C6" s="498">
        <f>SUM(C7:C23)</f>
        <v>2806304</v>
      </c>
      <c r="D6" s="498">
        <f>D13+D14+D21+D22+D15</f>
        <v>594501</v>
      </c>
      <c r="E6" s="498">
        <f t="shared" ref="E6:E61" si="0">B6+C6+D6</f>
        <v>130321579</v>
      </c>
      <c r="F6" s="498">
        <f>SUM(F7:F24)</f>
        <v>138017878</v>
      </c>
      <c r="G6" s="498">
        <f t="shared" ref="G6:G69" si="1">F6-B6</f>
        <v>11097104</v>
      </c>
      <c r="H6" s="524">
        <f t="shared" ref="H6:H64" si="2">G6/B6</f>
        <v>8.743331489610992E-2</v>
      </c>
      <c r="I6" s="498">
        <f t="shared" ref="I6:I69" si="3">F6-E6</f>
        <v>7696299</v>
      </c>
      <c r="J6" s="524">
        <f t="shared" ref="J6:J67" si="4">I6/E6</f>
        <v>5.9056213553090854E-2</v>
      </c>
      <c r="K6" s="36"/>
    </row>
    <row r="7" spans="1:11" x14ac:dyDescent="0.2">
      <c r="A7" s="831" t="s">
        <v>583</v>
      </c>
      <c r="B7" s="263">
        <f>103890215</f>
        <v>103890215</v>
      </c>
      <c r="C7" s="263">
        <f>1391297-B19</f>
        <v>1246486</v>
      </c>
      <c r="D7" s="263"/>
      <c r="E7" s="263">
        <f t="shared" si="0"/>
        <v>105136701</v>
      </c>
      <c r="F7" s="832">
        <f>105281512+7099401</f>
        <v>112380913</v>
      </c>
      <c r="G7" s="832">
        <f t="shared" si="1"/>
        <v>8490698</v>
      </c>
      <c r="H7" s="837">
        <f t="shared" si="2"/>
        <v>8.1727600621482974E-2</v>
      </c>
      <c r="I7" s="832">
        <f t="shared" si="3"/>
        <v>7244212</v>
      </c>
      <c r="J7" s="837">
        <f t="shared" si="4"/>
        <v>6.8902789711843826E-2</v>
      </c>
      <c r="K7" s="36"/>
    </row>
    <row r="8" spans="1:11" x14ac:dyDescent="0.2">
      <c r="A8" s="833" t="s">
        <v>1050</v>
      </c>
      <c r="B8" s="263"/>
      <c r="C8" s="263"/>
      <c r="D8" s="263"/>
      <c r="E8" s="263">
        <f t="shared" si="0"/>
        <v>0</v>
      </c>
      <c r="F8" s="832">
        <v>244619</v>
      </c>
      <c r="G8" s="832">
        <f t="shared" si="1"/>
        <v>244619</v>
      </c>
      <c r="H8" s="837"/>
      <c r="I8" s="832">
        <f t="shared" si="3"/>
        <v>244619</v>
      </c>
      <c r="J8" s="837"/>
      <c r="K8" s="36"/>
    </row>
    <row r="9" spans="1:11" x14ac:dyDescent="0.2">
      <c r="A9" s="833" t="s">
        <v>579</v>
      </c>
      <c r="B9" s="263">
        <v>2300020</v>
      </c>
      <c r="C9" s="263">
        <v>47124</v>
      </c>
      <c r="D9" s="263"/>
      <c r="E9" s="263">
        <f t="shared" si="0"/>
        <v>2347144</v>
      </c>
      <c r="F9" s="832">
        <v>2347144</v>
      </c>
      <c r="G9" s="832">
        <f t="shared" si="1"/>
        <v>47124</v>
      </c>
      <c r="H9" s="837">
        <f t="shared" si="2"/>
        <v>2.0488517491152252E-2</v>
      </c>
      <c r="I9" s="832">
        <f t="shared" si="3"/>
        <v>0</v>
      </c>
      <c r="J9" s="837">
        <f t="shared" si="4"/>
        <v>0</v>
      </c>
      <c r="K9" s="36"/>
    </row>
    <row r="10" spans="1:11" x14ac:dyDescent="0.2">
      <c r="A10" s="834" t="s">
        <v>580</v>
      </c>
      <c r="B10" s="263">
        <v>1000000</v>
      </c>
      <c r="C10" s="263">
        <v>286986</v>
      </c>
      <c r="D10" s="263"/>
      <c r="E10" s="263">
        <f t="shared" si="0"/>
        <v>1286986</v>
      </c>
      <c r="F10" s="832">
        <v>1286986</v>
      </c>
      <c r="G10" s="832">
        <f t="shared" si="1"/>
        <v>286986</v>
      </c>
      <c r="H10" s="837">
        <f t="shared" si="2"/>
        <v>0.28698600000000002</v>
      </c>
      <c r="I10" s="832">
        <f t="shared" si="3"/>
        <v>0</v>
      </c>
      <c r="J10" s="837">
        <f t="shared" si="4"/>
        <v>0</v>
      </c>
      <c r="K10" s="36"/>
    </row>
    <row r="11" spans="1:11" ht="24" x14ac:dyDescent="0.2">
      <c r="A11" s="833" t="s">
        <v>974</v>
      </c>
      <c r="B11" s="263"/>
      <c r="C11" s="263">
        <v>469190</v>
      </c>
      <c r="D11" s="263"/>
      <c r="E11" s="263">
        <f t="shared" si="0"/>
        <v>469190</v>
      </c>
      <c r="F11" s="832"/>
      <c r="G11" s="832">
        <f t="shared" si="1"/>
        <v>0</v>
      </c>
      <c r="H11" s="837"/>
      <c r="I11" s="832">
        <f t="shared" si="3"/>
        <v>-469190</v>
      </c>
      <c r="J11" s="837">
        <f t="shared" si="4"/>
        <v>-1</v>
      </c>
      <c r="K11" s="36"/>
    </row>
    <row r="12" spans="1:11" ht="24" x14ac:dyDescent="0.2">
      <c r="A12" s="833" t="s">
        <v>975</v>
      </c>
      <c r="B12" s="263"/>
      <c r="C12" s="263">
        <v>626760</v>
      </c>
      <c r="D12" s="263"/>
      <c r="E12" s="263">
        <f t="shared" si="0"/>
        <v>626760</v>
      </c>
      <c r="F12" s="832">
        <v>1250000</v>
      </c>
      <c r="G12" s="832">
        <f t="shared" si="1"/>
        <v>1250000</v>
      </c>
      <c r="H12" s="837"/>
      <c r="I12" s="832">
        <f t="shared" si="3"/>
        <v>623240</v>
      </c>
      <c r="J12" s="837">
        <f t="shared" si="4"/>
        <v>0.99438381517646313</v>
      </c>
      <c r="K12" s="36"/>
    </row>
    <row r="13" spans="1:11" x14ac:dyDescent="0.2">
      <c r="A13" s="833" t="s">
        <v>1045</v>
      </c>
      <c r="B13" s="263"/>
      <c r="C13" s="263"/>
      <c r="D13" s="263">
        <v>272018</v>
      </c>
      <c r="E13" s="263">
        <f t="shared" si="0"/>
        <v>272018</v>
      </c>
      <c r="F13" s="832"/>
      <c r="G13" s="832">
        <f t="shared" si="1"/>
        <v>0</v>
      </c>
      <c r="H13" s="837"/>
      <c r="I13" s="832">
        <f t="shared" si="3"/>
        <v>-272018</v>
      </c>
      <c r="J13" s="837">
        <f t="shared" si="4"/>
        <v>-1</v>
      </c>
      <c r="K13" s="36"/>
    </row>
    <row r="14" spans="1:11" ht="24" x14ac:dyDescent="0.2">
      <c r="A14" s="835" t="s">
        <v>1038</v>
      </c>
      <c r="B14" s="832"/>
      <c r="C14" s="832"/>
      <c r="D14" s="832">
        <v>20000</v>
      </c>
      <c r="E14" s="263">
        <f t="shared" si="0"/>
        <v>20000</v>
      </c>
      <c r="F14" s="832"/>
      <c r="G14" s="832">
        <f t="shared" si="1"/>
        <v>0</v>
      </c>
      <c r="H14" s="837"/>
      <c r="I14" s="832">
        <f t="shared" si="3"/>
        <v>-20000</v>
      </c>
      <c r="J14" s="837">
        <f t="shared" si="4"/>
        <v>-1</v>
      </c>
      <c r="K14" s="36"/>
    </row>
    <row r="15" spans="1:11" ht="24" x14ac:dyDescent="0.2">
      <c r="A15" s="835" t="s">
        <v>1054</v>
      </c>
      <c r="B15" s="832"/>
      <c r="C15" s="832"/>
      <c r="D15" s="832">
        <v>25440</v>
      </c>
      <c r="E15" s="263">
        <f t="shared" si="0"/>
        <v>25440</v>
      </c>
      <c r="F15" s="832"/>
      <c r="G15" s="832">
        <f t="shared" si="1"/>
        <v>0</v>
      </c>
      <c r="H15" s="837"/>
      <c r="I15" s="832">
        <f t="shared" si="3"/>
        <v>-25440</v>
      </c>
      <c r="J15" s="837">
        <f t="shared" si="4"/>
        <v>-1</v>
      </c>
      <c r="K15" s="36"/>
    </row>
    <row r="16" spans="1:11" x14ac:dyDescent="0.2">
      <c r="A16" s="835" t="s">
        <v>995</v>
      </c>
      <c r="B16" s="263"/>
      <c r="C16" s="263"/>
      <c r="D16" s="263"/>
      <c r="E16" s="263">
        <f t="shared" si="0"/>
        <v>0</v>
      </c>
      <c r="F16" s="832">
        <v>953466</v>
      </c>
      <c r="G16" s="832">
        <f t="shared" si="1"/>
        <v>953466</v>
      </c>
      <c r="H16" s="837"/>
      <c r="I16" s="832">
        <f t="shared" si="3"/>
        <v>953466</v>
      </c>
      <c r="J16" s="837"/>
      <c r="K16" s="36"/>
    </row>
    <row r="17" spans="1:13" x14ac:dyDescent="0.2">
      <c r="A17" s="834" t="s">
        <v>582</v>
      </c>
      <c r="B17" s="263">
        <v>489728</v>
      </c>
      <c r="C17" s="263">
        <v>-25360</v>
      </c>
      <c r="D17" s="263"/>
      <c r="E17" s="263">
        <f t="shared" si="0"/>
        <v>464368</v>
      </c>
      <c r="F17" s="832">
        <v>464368</v>
      </c>
      <c r="G17" s="832">
        <f t="shared" si="1"/>
        <v>-25360</v>
      </c>
      <c r="H17" s="837">
        <f t="shared" si="2"/>
        <v>-5.1783847360167279E-2</v>
      </c>
      <c r="I17" s="832">
        <f t="shared" si="3"/>
        <v>0</v>
      </c>
      <c r="J17" s="837">
        <f t="shared" si="4"/>
        <v>0</v>
      </c>
      <c r="K17" s="36"/>
      <c r="M17" s="63"/>
    </row>
    <row r="18" spans="1:13" x14ac:dyDescent="0.2">
      <c r="A18" s="834" t="s">
        <v>584</v>
      </c>
      <c r="B18" s="263">
        <v>96000</v>
      </c>
      <c r="C18" s="263"/>
      <c r="D18" s="263"/>
      <c r="E18" s="263">
        <f t="shared" si="0"/>
        <v>96000</v>
      </c>
      <c r="F18" s="832"/>
      <c r="G18" s="832">
        <f t="shared" si="1"/>
        <v>-96000</v>
      </c>
      <c r="H18" s="837">
        <f t="shared" si="2"/>
        <v>-1</v>
      </c>
      <c r="I18" s="832">
        <f t="shared" si="3"/>
        <v>-96000</v>
      </c>
      <c r="J18" s="837">
        <f t="shared" si="4"/>
        <v>-1</v>
      </c>
      <c r="K18" s="36"/>
    </row>
    <row r="19" spans="1:13" x14ac:dyDescent="0.2">
      <c r="A19" s="834" t="s">
        <v>581</v>
      </c>
      <c r="B19" s="263">
        <v>144811</v>
      </c>
      <c r="C19" s="263"/>
      <c r="D19" s="263"/>
      <c r="E19" s="263">
        <f t="shared" si="0"/>
        <v>144811</v>
      </c>
      <c r="F19" s="263"/>
      <c r="G19" s="263">
        <f t="shared" si="1"/>
        <v>-144811</v>
      </c>
      <c r="H19" s="537">
        <f t="shared" si="2"/>
        <v>-1</v>
      </c>
      <c r="I19" s="263">
        <f t="shared" si="3"/>
        <v>-144811</v>
      </c>
      <c r="J19" s="537">
        <f t="shared" si="4"/>
        <v>-1</v>
      </c>
      <c r="K19" s="36"/>
    </row>
    <row r="20" spans="1:13" x14ac:dyDescent="0.2">
      <c r="A20" s="833" t="s">
        <v>918</v>
      </c>
      <c r="B20" s="263"/>
      <c r="C20" s="263">
        <f>60000+60000+35118</f>
        <v>155118</v>
      </c>
      <c r="D20" s="263"/>
      <c r="E20" s="263">
        <f t="shared" si="0"/>
        <v>155118</v>
      </c>
      <c r="F20" s="263"/>
      <c r="G20" s="263">
        <f t="shared" si="1"/>
        <v>0</v>
      </c>
      <c r="H20" s="537"/>
      <c r="I20" s="263">
        <f t="shared" si="3"/>
        <v>-155118</v>
      </c>
      <c r="J20" s="537">
        <f t="shared" si="4"/>
        <v>-1</v>
      </c>
      <c r="K20" s="36"/>
    </row>
    <row r="21" spans="1:13" x14ac:dyDescent="0.2">
      <c r="A21" s="834" t="s">
        <v>1046</v>
      </c>
      <c r="B21" s="263"/>
      <c r="C21" s="263"/>
      <c r="D21" s="263">
        <f>80207+80207+53487+3031+15290+12321</f>
        <v>244543</v>
      </c>
      <c r="E21" s="263">
        <f t="shared" si="0"/>
        <v>244543</v>
      </c>
      <c r="F21" s="263"/>
      <c r="G21" s="263">
        <f t="shared" si="1"/>
        <v>0</v>
      </c>
      <c r="H21" s="537"/>
      <c r="I21" s="263">
        <f t="shared" si="3"/>
        <v>-244543</v>
      </c>
      <c r="J21" s="537">
        <f t="shared" si="4"/>
        <v>-1</v>
      </c>
      <c r="K21" s="36"/>
    </row>
    <row r="22" spans="1:13" ht="24" x14ac:dyDescent="0.2">
      <c r="A22" s="833" t="s">
        <v>1047</v>
      </c>
      <c r="B22" s="263"/>
      <c r="C22" s="263"/>
      <c r="D22" s="263">
        <v>32500</v>
      </c>
      <c r="E22" s="263">
        <f t="shared" si="0"/>
        <v>32500</v>
      </c>
      <c r="F22" s="263"/>
      <c r="G22" s="263">
        <f t="shared" si="1"/>
        <v>0</v>
      </c>
      <c r="H22" s="537"/>
      <c r="I22" s="263">
        <f t="shared" si="3"/>
        <v>-32500</v>
      </c>
      <c r="J22" s="537">
        <f t="shared" si="4"/>
        <v>-1</v>
      </c>
      <c r="K22" s="36"/>
    </row>
    <row r="23" spans="1:13" x14ac:dyDescent="0.2">
      <c r="A23" s="834" t="s">
        <v>619</v>
      </c>
      <c r="B23" s="462">
        <v>19000000</v>
      </c>
      <c r="C23" s="462"/>
      <c r="D23" s="462"/>
      <c r="E23" s="462">
        <f t="shared" si="0"/>
        <v>19000000</v>
      </c>
      <c r="F23" s="462">
        <v>19000000</v>
      </c>
      <c r="G23" s="462">
        <f t="shared" si="1"/>
        <v>0</v>
      </c>
      <c r="H23" s="539">
        <f t="shared" si="2"/>
        <v>0</v>
      </c>
      <c r="I23" s="462">
        <f t="shared" si="3"/>
        <v>0</v>
      </c>
      <c r="J23" s="539">
        <f t="shared" si="4"/>
        <v>0</v>
      </c>
      <c r="K23" s="36"/>
    </row>
    <row r="24" spans="1:13" x14ac:dyDescent="0.2">
      <c r="A24" s="836" t="s">
        <v>996</v>
      </c>
      <c r="B24" s="462"/>
      <c r="C24" s="462"/>
      <c r="D24" s="462"/>
      <c r="E24" s="462">
        <f t="shared" si="0"/>
        <v>0</v>
      </c>
      <c r="F24" s="263">
        <v>90382</v>
      </c>
      <c r="G24" s="263">
        <f t="shared" si="1"/>
        <v>90382</v>
      </c>
      <c r="H24" s="537"/>
      <c r="I24" s="263">
        <f t="shared" si="3"/>
        <v>90382</v>
      </c>
      <c r="J24" s="537"/>
      <c r="K24" s="36"/>
    </row>
    <row r="25" spans="1:13" s="56" customFormat="1" x14ac:dyDescent="0.2">
      <c r="A25" s="751" t="s">
        <v>2</v>
      </c>
      <c r="B25" s="264">
        <f>B26+B27+B28</f>
        <v>5360011</v>
      </c>
      <c r="C25" s="264">
        <f>SUM(C26:C38)</f>
        <v>9108979</v>
      </c>
      <c r="D25" s="264">
        <f>SUM(D26:D38)</f>
        <v>-735200</v>
      </c>
      <c r="E25" s="264">
        <f t="shared" si="0"/>
        <v>13733790</v>
      </c>
      <c r="F25" s="264">
        <f>F26+F27+F28+F37+F33</f>
        <v>11842853</v>
      </c>
      <c r="G25" s="264">
        <f t="shared" si="1"/>
        <v>6482842</v>
      </c>
      <c r="H25" s="538">
        <f t="shared" si="2"/>
        <v>1.2094829656133168</v>
      </c>
      <c r="I25" s="264">
        <f t="shared" si="3"/>
        <v>-1890937</v>
      </c>
      <c r="J25" s="538">
        <f t="shared" si="4"/>
        <v>-0.13768500901790401</v>
      </c>
      <c r="K25" s="6"/>
    </row>
    <row r="26" spans="1:13" x14ac:dyDescent="0.2">
      <c r="A26" s="831" t="s">
        <v>144</v>
      </c>
      <c r="B26" s="263">
        <v>3400024</v>
      </c>
      <c r="C26" s="263"/>
      <c r="D26" s="263"/>
      <c r="E26" s="263">
        <f t="shared" si="0"/>
        <v>3400024</v>
      </c>
      <c r="F26" s="832">
        <v>3550898</v>
      </c>
      <c r="G26" s="832">
        <f t="shared" si="1"/>
        <v>150874</v>
      </c>
      <c r="H26" s="837">
        <f t="shared" si="2"/>
        <v>4.437439265134599E-2</v>
      </c>
      <c r="I26" s="832">
        <f t="shared" si="3"/>
        <v>150874</v>
      </c>
      <c r="J26" s="837">
        <f t="shared" si="4"/>
        <v>4.437439265134599E-2</v>
      </c>
      <c r="K26" s="36"/>
    </row>
    <row r="27" spans="1:13" x14ac:dyDescent="0.2">
      <c r="A27" s="834" t="s">
        <v>315</v>
      </c>
      <c r="B27" s="263">
        <f>419925-45818</f>
        <v>374107</v>
      </c>
      <c r="C27" s="263">
        <f>1254+63960</f>
        <v>65214</v>
      </c>
      <c r="D27" s="263"/>
      <c r="E27" s="263">
        <f t="shared" si="0"/>
        <v>439321</v>
      </c>
      <c r="F27" s="832">
        <f>439321-63960</f>
        <v>375361</v>
      </c>
      <c r="G27" s="832">
        <f t="shared" si="1"/>
        <v>1254</v>
      </c>
      <c r="H27" s="837">
        <f t="shared" si="2"/>
        <v>3.3519821869144391E-3</v>
      </c>
      <c r="I27" s="832">
        <f t="shared" si="3"/>
        <v>-63960</v>
      </c>
      <c r="J27" s="837">
        <f t="shared" si="4"/>
        <v>-0.14558830558976238</v>
      </c>
      <c r="K27" s="36"/>
    </row>
    <row r="28" spans="1:13" x14ac:dyDescent="0.2">
      <c r="A28" s="834" t="s">
        <v>495</v>
      </c>
      <c r="B28" s="263">
        <v>1585880</v>
      </c>
      <c r="C28" s="263">
        <v>-1400000</v>
      </c>
      <c r="D28" s="263"/>
      <c r="E28" s="263">
        <f t="shared" si="0"/>
        <v>185880</v>
      </c>
      <c r="F28" s="832">
        <v>6032060</v>
      </c>
      <c r="G28" s="832">
        <f t="shared" si="1"/>
        <v>4446180</v>
      </c>
      <c r="H28" s="837">
        <f t="shared" si="2"/>
        <v>2.8036043080182611</v>
      </c>
      <c r="I28" s="832">
        <f t="shared" si="3"/>
        <v>5846180</v>
      </c>
      <c r="J28" s="837">
        <f t="shared" si="4"/>
        <v>31.451366472993328</v>
      </c>
      <c r="K28" s="36"/>
    </row>
    <row r="29" spans="1:13" s="486" customFormat="1" ht="24" x14ac:dyDescent="0.2">
      <c r="A29" s="835" t="s">
        <v>959</v>
      </c>
      <c r="B29" s="832"/>
      <c r="C29" s="832">
        <v>194265</v>
      </c>
      <c r="D29" s="832"/>
      <c r="E29" s="832">
        <f t="shared" si="0"/>
        <v>194265</v>
      </c>
      <c r="F29" s="832"/>
      <c r="G29" s="832">
        <f t="shared" si="1"/>
        <v>0</v>
      </c>
      <c r="H29" s="837"/>
      <c r="I29" s="832">
        <f t="shared" si="3"/>
        <v>-194265</v>
      </c>
      <c r="J29" s="837">
        <f t="shared" si="4"/>
        <v>-1</v>
      </c>
      <c r="K29" s="6"/>
    </row>
    <row r="30" spans="1:13" s="486" customFormat="1" x14ac:dyDescent="0.2">
      <c r="A30" s="835" t="s">
        <v>785</v>
      </c>
      <c r="B30" s="832"/>
      <c r="C30" s="832">
        <v>250000</v>
      </c>
      <c r="D30" s="832"/>
      <c r="E30" s="832">
        <f t="shared" si="0"/>
        <v>250000</v>
      </c>
      <c r="F30" s="832"/>
      <c r="G30" s="832">
        <f t="shared" si="1"/>
        <v>0</v>
      </c>
      <c r="H30" s="837"/>
      <c r="I30" s="832">
        <f t="shared" si="3"/>
        <v>-250000</v>
      </c>
      <c r="J30" s="837">
        <f t="shared" si="4"/>
        <v>-1</v>
      </c>
      <c r="K30" s="6"/>
    </row>
    <row r="31" spans="1:13" s="465" customFormat="1" x14ac:dyDescent="0.2">
      <c r="A31" s="835" t="s">
        <v>1048</v>
      </c>
      <c r="B31" s="832"/>
      <c r="C31" s="832"/>
      <c r="D31" s="832">
        <v>72100</v>
      </c>
      <c r="E31" s="832">
        <f t="shared" si="0"/>
        <v>72100</v>
      </c>
      <c r="F31" s="832"/>
      <c r="G31" s="832">
        <f t="shared" si="1"/>
        <v>0</v>
      </c>
      <c r="H31" s="837"/>
      <c r="I31" s="832">
        <f t="shared" si="3"/>
        <v>-72100</v>
      </c>
      <c r="J31" s="837">
        <f t="shared" si="4"/>
        <v>-1</v>
      </c>
      <c r="K31" s="6"/>
    </row>
    <row r="32" spans="1:13" s="465" customFormat="1" x14ac:dyDescent="0.2">
      <c r="A32" s="835" t="s">
        <v>1049</v>
      </c>
      <c r="B32" s="832"/>
      <c r="C32" s="832"/>
      <c r="D32" s="832">
        <v>100000</v>
      </c>
      <c r="E32" s="832">
        <f t="shared" si="0"/>
        <v>100000</v>
      </c>
      <c r="F32" s="832"/>
      <c r="G32" s="832">
        <f t="shared" si="1"/>
        <v>0</v>
      </c>
      <c r="H32" s="837"/>
      <c r="I32" s="832">
        <f t="shared" si="3"/>
        <v>-100000</v>
      </c>
      <c r="J32" s="837">
        <f t="shared" si="4"/>
        <v>-1</v>
      </c>
      <c r="K32" s="6"/>
    </row>
    <row r="33" spans="1:11" s="486" customFormat="1" x14ac:dyDescent="0.2">
      <c r="A33" s="835" t="s">
        <v>786</v>
      </c>
      <c r="B33" s="832"/>
      <c r="C33" s="832">
        <v>1050000</v>
      </c>
      <c r="D33" s="832">
        <v>-950000</v>
      </c>
      <c r="E33" s="832">
        <f t="shared" si="0"/>
        <v>100000</v>
      </c>
      <c r="F33" s="832">
        <v>1050000</v>
      </c>
      <c r="G33" s="832">
        <f t="shared" si="1"/>
        <v>1050000</v>
      </c>
      <c r="H33" s="837"/>
      <c r="I33" s="832">
        <f t="shared" si="3"/>
        <v>950000</v>
      </c>
      <c r="J33" s="837">
        <f t="shared" si="4"/>
        <v>9.5</v>
      </c>
      <c r="K33" s="6"/>
    </row>
    <row r="34" spans="1:11" s="486" customFormat="1" x14ac:dyDescent="0.2">
      <c r="A34" s="835" t="s">
        <v>960</v>
      </c>
      <c r="B34" s="832"/>
      <c r="C34" s="832">
        <v>187500</v>
      </c>
      <c r="D34" s="832"/>
      <c r="E34" s="832">
        <f t="shared" si="0"/>
        <v>187500</v>
      </c>
      <c r="F34" s="832"/>
      <c r="G34" s="832">
        <f t="shared" si="1"/>
        <v>0</v>
      </c>
      <c r="H34" s="837"/>
      <c r="I34" s="832">
        <f t="shared" si="3"/>
        <v>-187500</v>
      </c>
      <c r="J34" s="837">
        <f t="shared" si="4"/>
        <v>-1</v>
      </c>
      <c r="K34" s="6"/>
    </row>
    <row r="35" spans="1:11" s="486" customFormat="1" x14ac:dyDescent="0.2">
      <c r="A35" s="835" t="s">
        <v>961</v>
      </c>
      <c r="B35" s="832"/>
      <c r="C35" s="832">
        <v>50000</v>
      </c>
      <c r="D35" s="832"/>
      <c r="E35" s="832">
        <f t="shared" si="0"/>
        <v>50000</v>
      </c>
      <c r="F35" s="832"/>
      <c r="G35" s="832">
        <f t="shared" si="1"/>
        <v>0</v>
      </c>
      <c r="H35" s="837"/>
      <c r="I35" s="832">
        <f t="shared" si="3"/>
        <v>-50000</v>
      </c>
      <c r="J35" s="837">
        <f t="shared" si="4"/>
        <v>-1</v>
      </c>
      <c r="K35" s="6"/>
    </row>
    <row r="36" spans="1:11" s="486" customFormat="1" ht="24" x14ac:dyDescent="0.2">
      <c r="A36" s="835" t="s">
        <v>1054</v>
      </c>
      <c r="B36" s="832"/>
      <c r="C36" s="832"/>
      <c r="D36" s="832">
        <v>42700</v>
      </c>
      <c r="E36" s="832">
        <f t="shared" si="0"/>
        <v>42700</v>
      </c>
      <c r="F36" s="832"/>
      <c r="G36" s="832">
        <f t="shared" si="1"/>
        <v>0</v>
      </c>
      <c r="H36" s="837"/>
      <c r="I36" s="832">
        <f t="shared" si="3"/>
        <v>-42700</v>
      </c>
      <c r="J36" s="837">
        <f t="shared" si="4"/>
        <v>-1</v>
      </c>
      <c r="K36" s="6"/>
    </row>
    <row r="37" spans="1:11" s="486" customFormat="1" x14ac:dyDescent="0.2">
      <c r="A37" s="835" t="s">
        <v>1062</v>
      </c>
      <c r="B37" s="832"/>
      <c r="C37" s="832"/>
      <c r="D37" s="832"/>
      <c r="E37" s="832">
        <f t="shared" si="0"/>
        <v>0</v>
      </c>
      <c r="F37" s="832">
        <v>834534</v>
      </c>
      <c r="G37" s="832">
        <f t="shared" si="1"/>
        <v>834534</v>
      </c>
      <c r="H37" s="837"/>
      <c r="I37" s="832">
        <f t="shared" si="3"/>
        <v>834534</v>
      </c>
      <c r="J37" s="837"/>
      <c r="K37" s="6"/>
    </row>
    <row r="38" spans="1:11" x14ac:dyDescent="0.2">
      <c r="A38" s="834" t="s">
        <v>953</v>
      </c>
      <c r="B38" s="263"/>
      <c r="C38" s="263">
        <v>8712000</v>
      </c>
      <c r="D38" s="263"/>
      <c r="E38" s="263">
        <f t="shared" si="0"/>
        <v>8712000</v>
      </c>
      <c r="F38" s="263"/>
      <c r="G38" s="263">
        <f t="shared" si="1"/>
        <v>0</v>
      </c>
      <c r="H38" s="537"/>
      <c r="I38" s="263">
        <f t="shared" si="3"/>
        <v>-8712000</v>
      </c>
      <c r="J38" s="537">
        <f t="shared" si="4"/>
        <v>-1</v>
      </c>
      <c r="K38" s="36"/>
    </row>
    <row r="39" spans="1:11" x14ac:dyDescent="0.2">
      <c r="A39" s="751" t="s">
        <v>952</v>
      </c>
      <c r="B39" s="173"/>
      <c r="C39" s="173">
        <v>4802846</v>
      </c>
      <c r="D39" s="173"/>
      <c r="E39" s="173">
        <f t="shared" si="0"/>
        <v>4802846</v>
      </c>
      <c r="F39" s="173"/>
      <c r="G39" s="173">
        <f t="shared" si="1"/>
        <v>0</v>
      </c>
      <c r="H39" s="528"/>
      <c r="I39" s="173">
        <f t="shared" si="3"/>
        <v>-4802846</v>
      </c>
      <c r="J39" s="528">
        <f t="shared" si="4"/>
        <v>-1</v>
      </c>
      <c r="K39" s="36"/>
    </row>
    <row r="40" spans="1:11" x14ac:dyDescent="0.2">
      <c r="A40" s="751"/>
      <c r="B40" s="173"/>
      <c r="C40" s="173"/>
      <c r="D40" s="173"/>
      <c r="E40" s="173">
        <f t="shared" si="0"/>
        <v>0</v>
      </c>
      <c r="F40" s="173"/>
      <c r="G40" s="173">
        <f t="shared" si="1"/>
        <v>0</v>
      </c>
      <c r="H40" s="528"/>
      <c r="I40" s="173">
        <f t="shared" si="3"/>
        <v>0</v>
      </c>
      <c r="J40" s="528"/>
      <c r="K40" s="36"/>
    </row>
    <row r="41" spans="1:11" x14ac:dyDescent="0.2">
      <c r="A41" s="21" t="s">
        <v>994</v>
      </c>
      <c r="B41" s="173">
        <f>B42</f>
        <v>147334</v>
      </c>
      <c r="C41" s="173"/>
      <c r="D41" s="173"/>
      <c r="E41" s="173">
        <f t="shared" si="0"/>
        <v>147334</v>
      </c>
      <c r="F41" s="173">
        <f>F42</f>
        <v>9223</v>
      </c>
      <c r="G41" s="173">
        <f t="shared" si="1"/>
        <v>-138111</v>
      </c>
      <c r="H41" s="528">
        <f t="shared" si="2"/>
        <v>-0.9374007357432772</v>
      </c>
      <c r="I41" s="173">
        <f t="shared" si="3"/>
        <v>-138111</v>
      </c>
      <c r="J41" s="528">
        <f t="shared" si="4"/>
        <v>-0.9374007357432772</v>
      </c>
      <c r="K41" s="36"/>
    </row>
    <row r="42" spans="1:11" x14ac:dyDescent="0.2">
      <c r="A42" s="751" t="s">
        <v>620</v>
      </c>
      <c r="B42" s="498">
        <f>B43+B51</f>
        <v>147334</v>
      </c>
      <c r="C42" s="498"/>
      <c r="D42" s="498"/>
      <c r="E42" s="498">
        <f t="shared" si="0"/>
        <v>147334</v>
      </c>
      <c r="F42" s="498">
        <f>F43+F51+F48</f>
        <v>9223</v>
      </c>
      <c r="G42" s="498">
        <f t="shared" si="1"/>
        <v>-138111</v>
      </c>
      <c r="H42" s="524">
        <f t="shared" si="2"/>
        <v>-0.9374007357432772</v>
      </c>
      <c r="I42" s="498">
        <f t="shared" si="3"/>
        <v>-138111</v>
      </c>
      <c r="J42" s="524">
        <f t="shared" si="4"/>
        <v>-0.9374007357432772</v>
      </c>
      <c r="K42" s="36"/>
    </row>
    <row r="43" spans="1:11" x14ac:dyDescent="0.2">
      <c r="A43" s="66" t="s">
        <v>120</v>
      </c>
      <c r="B43" s="498">
        <f>SUM(B44:B46)</f>
        <v>142324</v>
      </c>
      <c r="C43" s="498"/>
      <c r="D43" s="498"/>
      <c r="E43" s="498">
        <f t="shared" si="0"/>
        <v>142324</v>
      </c>
      <c r="F43" s="498"/>
      <c r="G43" s="498">
        <f t="shared" si="1"/>
        <v>-142324</v>
      </c>
      <c r="H43" s="524">
        <f t="shared" si="2"/>
        <v>-1</v>
      </c>
      <c r="I43" s="498">
        <f t="shared" si="3"/>
        <v>-142324</v>
      </c>
      <c r="J43" s="524">
        <f t="shared" si="4"/>
        <v>-1</v>
      </c>
      <c r="K43" s="36"/>
    </row>
    <row r="44" spans="1:11" x14ac:dyDescent="0.2">
      <c r="A44" s="155" t="s">
        <v>530</v>
      </c>
      <c r="B44" s="462">
        <v>123089</v>
      </c>
      <c r="C44" s="462"/>
      <c r="D44" s="462"/>
      <c r="E44" s="462">
        <f t="shared" si="0"/>
        <v>123089</v>
      </c>
      <c r="F44" s="462"/>
      <c r="G44" s="462">
        <f t="shared" si="1"/>
        <v>-123089</v>
      </c>
      <c r="H44" s="539">
        <f t="shared" si="2"/>
        <v>-1</v>
      </c>
      <c r="I44" s="462">
        <f t="shared" si="3"/>
        <v>-123089</v>
      </c>
      <c r="J44" s="539">
        <f t="shared" si="4"/>
        <v>-1</v>
      </c>
      <c r="K44" s="36"/>
    </row>
    <row r="45" spans="1:11" x14ac:dyDescent="0.2">
      <c r="A45" s="153" t="s">
        <v>621</v>
      </c>
      <c r="B45" s="462">
        <v>12173</v>
      </c>
      <c r="C45" s="462"/>
      <c r="D45" s="462"/>
      <c r="E45" s="462">
        <f t="shared" si="0"/>
        <v>12173</v>
      </c>
      <c r="F45" s="462"/>
      <c r="G45" s="462">
        <f t="shared" si="1"/>
        <v>-12173</v>
      </c>
      <c r="H45" s="539">
        <f t="shared" si="2"/>
        <v>-1</v>
      </c>
      <c r="I45" s="462">
        <f t="shared" si="3"/>
        <v>-12173</v>
      </c>
      <c r="J45" s="539">
        <f t="shared" si="4"/>
        <v>-1</v>
      </c>
      <c r="K45" s="36"/>
    </row>
    <row r="46" spans="1:11" x14ac:dyDescent="0.2">
      <c r="A46" s="155" t="s">
        <v>622</v>
      </c>
      <c r="B46" s="462">
        <v>7062</v>
      </c>
      <c r="C46" s="462"/>
      <c r="D46" s="462"/>
      <c r="E46" s="462">
        <f t="shared" si="0"/>
        <v>7062</v>
      </c>
      <c r="F46" s="462"/>
      <c r="G46" s="462">
        <f t="shared" si="1"/>
        <v>-7062</v>
      </c>
      <c r="H46" s="539">
        <f t="shared" si="2"/>
        <v>-1</v>
      </c>
      <c r="I46" s="462">
        <f t="shared" si="3"/>
        <v>-7062</v>
      </c>
      <c r="J46" s="539">
        <f t="shared" si="4"/>
        <v>-1</v>
      </c>
      <c r="K46" s="36"/>
    </row>
    <row r="47" spans="1:11" x14ac:dyDescent="0.2">
      <c r="A47" s="64"/>
      <c r="B47" s="265"/>
      <c r="C47" s="265"/>
      <c r="D47" s="265"/>
      <c r="E47" s="265">
        <f t="shared" si="0"/>
        <v>0</v>
      </c>
      <c r="F47" s="265"/>
      <c r="G47" s="265">
        <f t="shared" si="1"/>
        <v>0</v>
      </c>
      <c r="H47" s="540"/>
      <c r="I47" s="265">
        <f t="shared" si="3"/>
        <v>0</v>
      </c>
      <c r="J47" s="540"/>
      <c r="K47" s="36"/>
    </row>
    <row r="48" spans="1:11" s="486" customFormat="1" x14ac:dyDescent="0.2">
      <c r="A48" s="752" t="s">
        <v>531</v>
      </c>
      <c r="B48" s="838"/>
      <c r="C48" s="838"/>
      <c r="D48" s="838"/>
      <c r="E48" s="838">
        <f t="shared" si="0"/>
        <v>0</v>
      </c>
      <c r="F48" s="839">
        <f>SUM(F49)</f>
        <v>4393</v>
      </c>
      <c r="G48" s="839">
        <f t="shared" si="1"/>
        <v>4393</v>
      </c>
      <c r="H48" s="852"/>
      <c r="I48" s="839">
        <f t="shared" si="3"/>
        <v>4393</v>
      </c>
      <c r="J48" s="852"/>
      <c r="K48" s="6"/>
    </row>
    <row r="49" spans="1:11" s="486" customFormat="1" ht="24" x14ac:dyDescent="0.2">
      <c r="A49" s="753" t="s">
        <v>482</v>
      </c>
      <c r="B49" s="838"/>
      <c r="C49" s="838"/>
      <c r="D49" s="838"/>
      <c r="E49" s="838">
        <f t="shared" si="0"/>
        <v>0</v>
      </c>
      <c r="F49" s="840">
        <v>4393</v>
      </c>
      <c r="G49" s="840">
        <f t="shared" si="1"/>
        <v>4393</v>
      </c>
      <c r="H49" s="853"/>
      <c r="I49" s="840">
        <f t="shared" si="3"/>
        <v>4393</v>
      </c>
      <c r="J49" s="853"/>
      <c r="K49" s="6"/>
    </row>
    <row r="50" spans="1:11" s="486" customFormat="1" x14ac:dyDescent="0.2">
      <c r="A50" s="754"/>
      <c r="B50" s="838"/>
      <c r="C50" s="838"/>
      <c r="D50" s="838"/>
      <c r="E50" s="838">
        <f t="shared" si="0"/>
        <v>0</v>
      </c>
      <c r="F50" s="838"/>
      <c r="G50" s="838">
        <f t="shared" si="1"/>
        <v>0</v>
      </c>
      <c r="H50" s="854"/>
      <c r="I50" s="838">
        <f t="shared" si="3"/>
        <v>0</v>
      </c>
      <c r="J50" s="854"/>
      <c r="K50" s="6"/>
    </row>
    <row r="51" spans="1:11" x14ac:dyDescent="0.2">
      <c r="A51" s="66" t="s">
        <v>532</v>
      </c>
      <c r="B51" s="498">
        <f>B52</f>
        <v>5010</v>
      </c>
      <c r="C51" s="498"/>
      <c r="D51" s="498"/>
      <c r="E51" s="498">
        <f t="shared" si="0"/>
        <v>5010</v>
      </c>
      <c r="F51" s="498">
        <f>F52</f>
        <v>4830</v>
      </c>
      <c r="G51" s="498">
        <f t="shared" si="1"/>
        <v>-180</v>
      </c>
      <c r="H51" s="524">
        <f t="shared" si="2"/>
        <v>-3.5928143712574849E-2</v>
      </c>
      <c r="I51" s="498">
        <f t="shared" si="3"/>
        <v>-180</v>
      </c>
      <c r="J51" s="524">
        <f t="shared" si="4"/>
        <v>-3.5928143712574849E-2</v>
      </c>
      <c r="K51" s="36"/>
    </row>
    <row r="52" spans="1:11" ht="24" x14ac:dyDescent="0.2">
      <c r="A52" s="60" t="s">
        <v>841</v>
      </c>
      <c r="B52" s="462">
        <v>5010</v>
      </c>
      <c r="C52" s="462"/>
      <c r="D52" s="462"/>
      <c r="E52" s="462">
        <f t="shared" si="0"/>
        <v>5010</v>
      </c>
      <c r="F52" s="462">
        <v>4830</v>
      </c>
      <c r="G52" s="462">
        <f t="shared" si="1"/>
        <v>-180</v>
      </c>
      <c r="H52" s="539">
        <f t="shared" si="2"/>
        <v>-3.5928143712574849E-2</v>
      </c>
      <c r="I52" s="462">
        <f t="shared" si="3"/>
        <v>-180</v>
      </c>
      <c r="J52" s="539">
        <f t="shared" si="4"/>
        <v>-3.5928143712574849E-2</v>
      </c>
      <c r="K52" s="36"/>
    </row>
    <row r="53" spans="1:11" x14ac:dyDescent="0.2">
      <c r="A53" s="60"/>
      <c r="B53" s="462"/>
      <c r="C53" s="462"/>
      <c r="D53" s="462"/>
      <c r="E53" s="462">
        <f t="shared" si="0"/>
        <v>0</v>
      </c>
      <c r="F53" s="462"/>
      <c r="G53" s="462">
        <f t="shared" si="1"/>
        <v>0</v>
      </c>
      <c r="H53" s="539"/>
      <c r="I53" s="462">
        <f t="shared" si="3"/>
        <v>0</v>
      </c>
      <c r="J53" s="539"/>
      <c r="K53" s="36"/>
    </row>
    <row r="54" spans="1:11" x14ac:dyDescent="0.2">
      <c r="A54" s="21" t="s">
        <v>3</v>
      </c>
      <c r="B54" s="262">
        <f>B55+B107</f>
        <v>12175903</v>
      </c>
      <c r="C54" s="262">
        <f>C55+C107</f>
        <v>-1402186</v>
      </c>
      <c r="D54" s="262">
        <f>D55+D107</f>
        <v>-1376289</v>
      </c>
      <c r="E54" s="262">
        <f t="shared" si="0"/>
        <v>9397428</v>
      </c>
      <c r="F54" s="262">
        <f>F55+F107</f>
        <v>23913124.170000002</v>
      </c>
      <c r="G54" s="262">
        <f t="shared" si="1"/>
        <v>11737221.170000002</v>
      </c>
      <c r="H54" s="536">
        <f t="shared" si="2"/>
        <v>0.96397131038248263</v>
      </c>
      <c r="I54" s="262">
        <f t="shared" si="3"/>
        <v>14515696.170000002</v>
      </c>
      <c r="J54" s="536">
        <f t="shared" si="4"/>
        <v>1.5446456381469484</v>
      </c>
      <c r="K54" s="36"/>
    </row>
    <row r="55" spans="1:11" x14ac:dyDescent="0.2">
      <c r="A55" s="255" t="s">
        <v>5</v>
      </c>
      <c r="B55" s="264">
        <f>+B57+B70+B79+B87+B98+B103+B76</f>
        <v>7494963</v>
      </c>
      <c r="C55" s="264">
        <f>+C57+C70+C79+C87+C98+C103+C76</f>
        <v>-1095709</v>
      </c>
      <c r="D55" s="264">
        <f>+D57+D70+D79+D87+D98+D103+D76</f>
        <v>0</v>
      </c>
      <c r="E55" s="264">
        <f t="shared" si="0"/>
        <v>6399254</v>
      </c>
      <c r="F55" s="264">
        <f>+F57+F70+F79+F87+F98+F103+F76</f>
        <v>4287923</v>
      </c>
      <c r="G55" s="264">
        <f t="shared" si="1"/>
        <v>-3207040</v>
      </c>
      <c r="H55" s="538">
        <f t="shared" si="2"/>
        <v>-0.42789270607473312</v>
      </c>
      <c r="I55" s="264">
        <f t="shared" si="3"/>
        <v>-2111331</v>
      </c>
      <c r="J55" s="538">
        <f t="shared" si="4"/>
        <v>-0.32993392667332788</v>
      </c>
      <c r="K55" s="36"/>
    </row>
    <row r="56" spans="1:11" x14ac:dyDescent="0.2">
      <c r="A56" s="258"/>
      <c r="B56" s="798"/>
      <c r="C56" s="798"/>
      <c r="D56" s="798"/>
      <c r="E56" s="798">
        <f t="shared" si="0"/>
        <v>0</v>
      </c>
      <c r="F56" s="798"/>
      <c r="G56" s="798">
        <f t="shared" si="1"/>
        <v>0</v>
      </c>
      <c r="H56" s="799"/>
      <c r="I56" s="798">
        <f t="shared" si="3"/>
        <v>0</v>
      </c>
      <c r="J56" s="799"/>
      <c r="K56" s="36"/>
    </row>
    <row r="57" spans="1:11" x14ac:dyDescent="0.2">
      <c r="A57" s="66" t="s">
        <v>779</v>
      </c>
      <c r="B57" s="498">
        <f>SUM(B58:B64)</f>
        <v>911545</v>
      </c>
      <c r="C57" s="498">
        <f>C61+C65+C66+C67+C64+C63+C62+C58+C59+C60</f>
        <v>777377</v>
      </c>
      <c r="D57" s="498"/>
      <c r="E57" s="498">
        <f t="shared" si="0"/>
        <v>1688922</v>
      </c>
      <c r="F57" s="179">
        <f>SUM(F58:F68)</f>
        <v>1559256</v>
      </c>
      <c r="G57" s="179">
        <f t="shared" si="1"/>
        <v>647711</v>
      </c>
      <c r="H57" s="542">
        <f t="shared" si="2"/>
        <v>0.71056393266377416</v>
      </c>
      <c r="I57" s="179">
        <f t="shared" si="3"/>
        <v>-129666</v>
      </c>
      <c r="J57" s="542">
        <f t="shared" si="4"/>
        <v>-7.677441587000465E-2</v>
      </c>
      <c r="K57" s="36"/>
    </row>
    <row r="58" spans="1:11" x14ac:dyDescent="0.2">
      <c r="A58" s="464" t="s">
        <v>623</v>
      </c>
      <c r="B58" s="798">
        <v>516465</v>
      </c>
      <c r="C58" s="798"/>
      <c r="D58" s="798"/>
      <c r="E58" s="798">
        <f t="shared" si="0"/>
        <v>516465</v>
      </c>
      <c r="F58" s="841">
        <v>278735</v>
      </c>
      <c r="G58" s="841">
        <f t="shared" si="1"/>
        <v>-237730</v>
      </c>
      <c r="H58" s="855">
        <f t="shared" si="2"/>
        <v>-0.46030224700608946</v>
      </c>
      <c r="I58" s="841">
        <f t="shared" si="3"/>
        <v>-237730</v>
      </c>
      <c r="J58" s="855">
        <f t="shared" si="4"/>
        <v>-0.46030224700608946</v>
      </c>
      <c r="K58" s="36"/>
    </row>
    <row r="59" spans="1:11" ht="24" x14ac:dyDescent="0.2">
      <c r="A59" s="256" t="s">
        <v>624</v>
      </c>
      <c r="B59" s="462">
        <v>15700</v>
      </c>
      <c r="C59" s="462"/>
      <c r="D59" s="462"/>
      <c r="E59" s="462">
        <f t="shared" si="0"/>
        <v>15700</v>
      </c>
      <c r="F59" s="840">
        <v>15700</v>
      </c>
      <c r="G59" s="840">
        <f t="shared" si="1"/>
        <v>0</v>
      </c>
      <c r="H59" s="853">
        <f t="shared" si="2"/>
        <v>0</v>
      </c>
      <c r="I59" s="840">
        <f t="shared" si="3"/>
        <v>0</v>
      </c>
      <c r="J59" s="853">
        <f t="shared" si="4"/>
        <v>0</v>
      </c>
      <c r="K59" s="36"/>
    </row>
    <row r="60" spans="1:11" x14ac:dyDescent="0.2">
      <c r="A60" s="755" t="s">
        <v>625</v>
      </c>
      <c r="B60" s="798">
        <v>132938</v>
      </c>
      <c r="C60" s="798"/>
      <c r="D60" s="798"/>
      <c r="E60" s="798">
        <f t="shared" si="0"/>
        <v>132938</v>
      </c>
      <c r="F60" s="841">
        <v>112312</v>
      </c>
      <c r="G60" s="841">
        <f t="shared" si="1"/>
        <v>-20626</v>
      </c>
      <c r="H60" s="855">
        <f t="shared" si="2"/>
        <v>-0.15515503467781974</v>
      </c>
      <c r="I60" s="841">
        <f t="shared" si="3"/>
        <v>-20626</v>
      </c>
      <c r="J60" s="855">
        <f t="shared" si="4"/>
        <v>-0.15515503467781974</v>
      </c>
      <c r="K60" s="36"/>
    </row>
    <row r="61" spans="1:11" x14ac:dyDescent="0.2">
      <c r="A61" s="755" t="s">
        <v>626</v>
      </c>
      <c r="B61" s="798">
        <v>22959</v>
      </c>
      <c r="C61" s="798">
        <v>1632</v>
      </c>
      <c r="D61" s="798"/>
      <c r="E61" s="798">
        <f t="shared" si="0"/>
        <v>24591</v>
      </c>
      <c r="F61" s="841">
        <v>6806</v>
      </c>
      <c r="G61" s="841">
        <f t="shared" si="1"/>
        <v>-16153</v>
      </c>
      <c r="H61" s="855">
        <f t="shared" si="2"/>
        <v>-0.70355851735702779</v>
      </c>
      <c r="I61" s="841">
        <f t="shared" si="3"/>
        <v>-17785</v>
      </c>
      <c r="J61" s="855">
        <f t="shared" si="4"/>
        <v>-0.72323207677605628</v>
      </c>
      <c r="K61" s="36"/>
    </row>
    <row r="62" spans="1:11" x14ac:dyDescent="0.2">
      <c r="A62" s="258" t="s">
        <v>627</v>
      </c>
      <c r="B62" s="798">
        <v>25000</v>
      </c>
      <c r="C62" s="798"/>
      <c r="D62" s="798"/>
      <c r="E62" s="798">
        <f t="shared" ref="E62:E123" si="5">B62+C62+D62</f>
        <v>25000</v>
      </c>
      <c r="F62" s="841">
        <v>25000</v>
      </c>
      <c r="G62" s="841">
        <f t="shared" si="1"/>
        <v>0</v>
      </c>
      <c r="H62" s="855">
        <f t="shared" si="2"/>
        <v>0</v>
      </c>
      <c r="I62" s="841">
        <f t="shared" si="3"/>
        <v>0</v>
      </c>
      <c r="J62" s="855">
        <f t="shared" si="4"/>
        <v>0</v>
      </c>
      <c r="K62" s="36"/>
    </row>
    <row r="63" spans="1:11" ht="24" x14ac:dyDescent="0.2">
      <c r="A63" s="154" t="s">
        <v>418</v>
      </c>
      <c r="B63" s="462">
        <v>1161</v>
      </c>
      <c r="C63" s="462"/>
      <c r="D63" s="462"/>
      <c r="E63" s="462">
        <f t="shared" si="5"/>
        <v>1161</v>
      </c>
      <c r="F63" s="840"/>
      <c r="G63" s="840">
        <f t="shared" si="1"/>
        <v>-1161</v>
      </c>
      <c r="H63" s="853">
        <f t="shared" si="2"/>
        <v>-1</v>
      </c>
      <c r="I63" s="840">
        <f t="shared" si="3"/>
        <v>-1161</v>
      </c>
      <c r="J63" s="853">
        <f t="shared" si="4"/>
        <v>-1</v>
      </c>
      <c r="K63" s="36"/>
    </row>
    <row r="64" spans="1:11" x14ac:dyDescent="0.2">
      <c r="A64" s="154" t="s">
        <v>636</v>
      </c>
      <c r="B64" s="462">
        <v>197322</v>
      </c>
      <c r="C64" s="462"/>
      <c r="D64" s="462"/>
      <c r="E64" s="462">
        <f t="shared" si="5"/>
        <v>197322</v>
      </c>
      <c r="F64" s="840">
        <v>177418</v>
      </c>
      <c r="G64" s="840">
        <f t="shared" si="1"/>
        <v>-19904</v>
      </c>
      <c r="H64" s="853">
        <f t="shared" si="2"/>
        <v>-0.1008706581121213</v>
      </c>
      <c r="I64" s="840">
        <f t="shared" si="3"/>
        <v>-19904</v>
      </c>
      <c r="J64" s="853">
        <f t="shared" si="4"/>
        <v>-0.1008706581121213</v>
      </c>
      <c r="K64" s="36"/>
    </row>
    <row r="65" spans="1:11" ht="24" x14ac:dyDescent="0.2">
      <c r="A65" s="154" t="s">
        <v>926</v>
      </c>
      <c r="B65" s="462"/>
      <c r="C65" s="462">
        <v>548645</v>
      </c>
      <c r="D65" s="462"/>
      <c r="E65" s="462">
        <f t="shared" si="5"/>
        <v>548645</v>
      </c>
      <c r="F65" s="840">
        <v>658372</v>
      </c>
      <c r="G65" s="840">
        <f t="shared" si="1"/>
        <v>658372</v>
      </c>
      <c r="H65" s="853"/>
      <c r="I65" s="840">
        <f t="shared" si="3"/>
        <v>109727</v>
      </c>
      <c r="J65" s="853">
        <f t="shared" si="4"/>
        <v>0.19999635465556051</v>
      </c>
      <c r="K65" s="36"/>
    </row>
    <row r="66" spans="1:11" ht="24" x14ac:dyDescent="0.2">
      <c r="A66" s="154" t="s">
        <v>927</v>
      </c>
      <c r="B66" s="462"/>
      <c r="C66" s="462">
        <v>79500</v>
      </c>
      <c r="D66" s="462"/>
      <c r="E66" s="462">
        <f t="shared" si="5"/>
        <v>79500</v>
      </c>
      <c r="F66" s="840">
        <v>142500</v>
      </c>
      <c r="G66" s="840">
        <f t="shared" si="1"/>
        <v>142500</v>
      </c>
      <c r="H66" s="853"/>
      <c r="I66" s="840">
        <f t="shared" si="3"/>
        <v>63000</v>
      </c>
      <c r="J66" s="853">
        <f t="shared" si="4"/>
        <v>0.79245283018867929</v>
      </c>
      <c r="K66" s="36"/>
    </row>
    <row r="67" spans="1:11" x14ac:dyDescent="0.2">
      <c r="A67" s="154" t="s">
        <v>928</v>
      </c>
      <c r="B67" s="462"/>
      <c r="C67" s="462">
        <v>147600</v>
      </c>
      <c r="D67" s="462"/>
      <c r="E67" s="462">
        <f t="shared" si="5"/>
        <v>147600</v>
      </c>
      <c r="F67" s="840">
        <v>67600</v>
      </c>
      <c r="G67" s="840">
        <f t="shared" si="1"/>
        <v>67600</v>
      </c>
      <c r="H67" s="853"/>
      <c r="I67" s="840">
        <f t="shared" si="3"/>
        <v>-80000</v>
      </c>
      <c r="J67" s="853">
        <f t="shared" si="4"/>
        <v>-0.54200542005420049</v>
      </c>
      <c r="K67" s="36"/>
    </row>
    <row r="68" spans="1:11" x14ac:dyDescent="0.2">
      <c r="A68" s="753" t="s">
        <v>1058</v>
      </c>
      <c r="B68" s="462"/>
      <c r="C68" s="462"/>
      <c r="D68" s="462"/>
      <c r="E68" s="462">
        <f t="shared" si="5"/>
        <v>0</v>
      </c>
      <c r="F68" s="840">
        <v>74813</v>
      </c>
      <c r="G68" s="840">
        <f t="shared" si="1"/>
        <v>74813</v>
      </c>
      <c r="H68" s="853"/>
      <c r="I68" s="840">
        <f t="shared" si="3"/>
        <v>74813</v>
      </c>
      <c r="J68" s="853"/>
      <c r="K68" s="36"/>
    </row>
    <row r="69" spans="1:11" x14ac:dyDescent="0.2">
      <c r="A69" s="154"/>
      <c r="B69" s="462"/>
      <c r="C69" s="462"/>
      <c r="D69" s="462"/>
      <c r="E69" s="462">
        <f t="shared" si="5"/>
        <v>0</v>
      </c>
      <c r="F69" s="462"/>
      <c r="G69" s="462">
        <f t="shared" si="1"/>
        <v>0</v>
      </c>
      <c r="H69" s="539"/>
      <c r="I69" s="462">
        <f t="shared" si="3"/>
        <v>0</v>
      </c>
      <c r="J69" s="539"/>
      <c r="K69" s="36"/>
    </row>
    <row r="70" spans="1:11" x14ac:dyDescent="0.2">
      <c r="A70" s="66" t="s">
        <v>120</v>
      </c>
      <c r="B70" s="800">
        <f>+B71+B72+B73+B74</f>
        <v>818080</v>
      </c>
      <c r="C70" s="800"/>
      <c r="D70" s="800"/>
      <c r="E70" s="800">
        <f t="shared" si="5"/>
        <v>818080</v>
      </c>
      <c r="F70" s="800">
        <f>F74</f>
        <v>58515</v>
      </c>
      <c r="G70" s="800">
        <f t="shared" ref="G70:G132" si="6">F70-B70</f>
        <v>-759565</v>
      </c>
      <c r="H70" s="801">
        <f t="shared" ref="H70:H125" si="7">G70/B70</f>
        <v>-0.92847276549970659</v>
      </c>
      <c r="I70" s="800">
        <f t="shared" ref="I70:I132" si="8">F70-E70</f>
        <v>-759565</v>
      </c>
      <c r="J70" s="801">
        <f t="shared" ref="J70:J125" si="9">I70/E70</f>
        <v>-0.92847276549970659</v>
      </c>
      <c r="K70" s="36"/>
    </row>
    <row r="71" spans="1:11" x14ac:dyDescent="0.2">
      <c r="A71" s="153" t="s">
        <v>628</v>
      </c>
      <c r="B71" s="463">
        <v>11571</v>
      </c>
      <c r="C71" s="463"/>
      <c r="D71" s="463"/>
      <c r="E71" s="463">
        <f t="shared" si="5"/>
        <v>11571</v>
      </c>
      <c r="F71" s="463"/>
      <c r="G71" s="463">
        <f t="shared" si="6"/>
        <v>-11571</v>
      </c>
      <c r="H71" s="537">
        <f t="shared" si="7"/>
        <v>-1</v>
      </c>
      <c r="I71" s="463">
        <f t="shared" si="8"/>
        <v>-11571</v>
      </c>
      <c r="J71" s="537">
        <f t="shared" si="9"/>
        <v>-1</v>
      </c>
      <c r="K71" s="36"/>
    </row>
    <row r="72" spans="1:11" x14ac:dyDescent="0.2">
      <c r="A72" s="155" t="s">
        <v>530</v>
      </c>
      <c r="B72" s="798">
        <v>697505</v>
      </c>
      <c r="C72" s="798"/>
      <c r="D72" s="798"/>
      <c r="E72" s="798">
        <f t="shared" si="5"/>
        <v>697505</v>
      </c>
      <c r="F72" s="798"/>
      <c r="G72" s="798">
        <f t="shared" si="6"/>
        <v>-697505</v>
      </c>
      <c r="H72" s="799">
        <f t="shared" si="7"/>
        <v>-1</v>
      </c>
      <c r="I72" s="798">
        <f t="shared" si="8"/>
        <v>-697505</v>
      </c>
      <c r="J72" s="799">
        <f t="shared" si="9"/>
        <v>-1</v>
      </c>
      <c r="K72" s="36"/>
    </row>
    <row r="73" spans="1:11" x14ac:dyDescent="0.2">
      <c r="A73" s="155" t="s">
        <v>621</v>
      </c>
      <c r="B73" s="798">
        <v>68983</v>
      </c>
      <c r="C73" s="798"/>
      <c r="D73" s="798"/>
      <c r="E73" s="798">
        <f t="shared" si="5"/>
        <v>68983</v>
      </c>
      <c r="F73" s="798"/>
      <c r="G73" s="798">
        <f t="shared" si="6"/>
        <v>-68983</v>
      </c>
      <c r="H73" s="799">
        <f t="shared" si="7"/>
        <v>-1</v>
      </c>
      <c r="I73" s="798">
        <f t="shared" si="8"/>
        <v>-68983</v>
      </c>
      <c r="J73" s="799">
        <f t="shared" si="9"/>
        <v>-1</v>
      </c>
      <c r="K73" s="36"/>
    </row>
    <row r="74" spans="1:11" x14ac:dyDescent="0.2">
      <c r="A74" s="155" t="s">
        <v>622</v>
      </c>
      <c r="B74" s="798">
        <v>40021</v>
      </c>
      <c r="C74" s="798"/>
      <c r="D74" s="798"/>
      <c r="E74" s="798">
        <f t="shared" si="5"/>
        <v>40021</v>
      </c>
      <c r="F74" s="798">
        <v>58515</v>
      </c>
      <c r="G74" s="798">
        <f t="shared" si="6"/>
        <v>18494</v>
      </c>
      <c r="H74" s="799">
        <f t="shared" si="7"/>
        <v>0.46210739361835035</v>
      </c>
      <c r="I74" s="798">
        <f t="shared" si="8"/>
        <v>18494</v>
      </c>
      <c r="J74" s="799">
        <f t="shared" si="9"/>
        <v>0.46210739361835035</v>
      </c>
      <c r="K74" s="36"/>
    </row>
    <row r="75" spans="1:11" x14ac:dyDescent="0.2">
      <c r="A75" s="257"/>
      <c r="B75" s="498"/>
      <c r="C75" s="498"/>
      <c r="D75" s="498"/>
      <c r="E75" s="498">
        <f t="shared" si="5"/>
        <v>0</v>
      </c>
      <c r="F75" s="498"/>
      <c r="G75" s="498">
        <f t="shared" si="6"/>
        <v>0</v>
      </c>
      <c r="H75" s="524"/>
      <c r="I75" s="498">
        <f t="shared" si="8"/>
        <v>0</v>
      </c>
      <c r="J75" s="524"/>
      <c r="K75" s="36"/>
    </row>
    <row r="76" spans="1:11" x14ac:dyDescent="0.2">
      <c r="A76" s="66" t="s">
        <v>769</v>
      </c>
      <c r="B76" s="800">
        <f>B77</f>
        <v>26626</v>
      </c>
      <c r="C76" s="800">
        <f>C77</f>
        <v>1700</v>
      </c>
      <c r="D76" s="800"/>
      <c r="E76" s="800">
        <f t="shared" si="5"/>
        <v>28326</v>
      </c>
      <c r="F76" s="800"/>
      <c r="G76" s="800">
        <f t="shared" si="6"/>
        <v>-26626</v>
      </c>
      <c r="H76" s="801">
        <f t="shared" si="7"/>
        <v>-1</v>
      </c>
      <c r="I76" s="800">
        <f t="shared" si="8"/>
        <v>-28326</v>
      </c>
      <c r="J76" s="801">
        <f t="shared" si="9"/>
        <v>-1</v>
      </c>
      <c r="K76" s="36"/>
    </row>
    <row r="77" spans="1:11" x14ac:dyDescent="0.2">
      <c r="A77" s="155" t="s">
        <v>845</v>
      </c>
      <c r="B77" s="463">
        <v>26626</v>
      </c>
      <c r="C77" s="463">
        <v>1700</v>
      </c>
      <c r="D77" s="463"/>
      <c r="E77" s="463">
        <f t="shared" si="5"/>
        <v>28326</v>
      </c>
      <c r="F77" s="463"/>
      <c r="G77" s="463">
        <f t="shared" si="6"/>
        <v>-26626</v>
      </c>
      <c r="H77" s="537">
        <f t="shared" si="7"/>
        <v>-1</v>
      </c>
      <c r="I77" s="463">
        <f t="shared" si="8"/>
        <v>-28326</v>
      </c>
      <c r="J77" s="537">
        <f t="shared" si="9"/>
        <v>-1</v>
      </c>
      <c r="K77" s="36"/>
    </row>
    <row r="78" spans="1:11" x14ac:dyDescent="0.2">
      <c r="A78" s="257"/>
      <c r="B78" s="255"/>
      <c r="C78" s="255"/>
      <c r="D78" s="255"/>
      <c r="E78" s="255">
        <f t="shared" si="5"/>
        <v>0</v>
      </c>
      <c r="F78" s="255"/>
      <c r="G78" s="255">
        <f t="shared" si="6"/>
        <v>0</v>
      </c>
      <c r="H78" s="524"/>
      <c r="I78" s="255">
        <f t="shared" si="8"/>
        <v>0</v>
      </c>
      <c r="J78" s="524"/>
      <c r="K78" s="36"/>
    </row>
    <row r="79" spans="1:11" x14ac:dyDescent="0.2">
      <c r="A79" s="66" t="s">
        <v>202</v>
      </c>
      <c r="B79" s="800">
        <f>SUM(B80:B84)</f>
        <v>679519</v>
      </c>
      <c r="C79" s="800">
        <f>SUM(C80:C85)</f>
        <v>7301</v>
      </c>
      <c r="D79" s="800"/>
      <c r="E79" s="800">
        <f t="shared" si="5"/>
        <v>686820</v>
      </c>
      <c r="F79" s="842">
        <f>SUM(F80:F86)</f>
        <v>444200</v>
      </c>
      <c r="G79" s="842">
        <f t="shared" si="6"/>
        <v>-235319</v>
      </c>
      <c r="H79" s="852">
        <f t="shared" si="7"/>
        <v>-0.34630231089932734</v>
      </c>
      <c r="I79" s="842">
        <f t="shared" si="8"/>
        <v>-242620</v>
      </c>
      <c r="J79" s="852">
        <f t="shared" si="9"/>
        <v>-0.35325121574793977</v>
      </c>
      <c r="K79" s="36"/>
    </row>
    <row r="80" spans="1:11" x14ac:dyDescent="0.2">
      <c r="A80" s="153" t="s">
        <v>483</v>
      </c>
      <c r="B80" s="462">
        <v>376375</v>
      </c>
      <c r="C80" s="462"/>
      <c r="D80" s="462"/>
      <c r="E80" s="462">
        <f t="shared" si="5"/>
        <v>376375</v>
      </c>
      <c r="F80" s="840">
        <v>376375</v>
      </c>
      <c r="G80" s="840">
        <f t="shared" si="6"/>
        <v>0</v>
      </c>
      <c r="H80" s="853">
        <f t="shared" si="7"/>
        <v>0</v>
      </c>
      <c r="I80" s="840">
        <f t="shared" si="8"/>
        <v>0</v>
      </c>
      <c r="J80" s="853">
        <f t="shared" si="9"/>
        <v>0</v>
      </c>
      <c r="K80" s="36"/>
    </row>
    <row r="81" spans="1:11" x14ac:dyDescent="0.2">
      <c r="A81" s="153" t="s">
        <v>629</v>
      </c>
      <c r="B81" s="462">
        <v>224264</v>
      </c>
      <c r="C81" s="462"/>
      <c r="D81" s="462"/>
      <c r="E81" s="462">
        <f t="shared" si="5"/>
        <v>224264</v>
      </c>
      <c r="F81" s="840">
        <v>1657</v>
      </c>
      <c r="G81" s="840">
        <f t="shared" si="6"/>
        <v>-222607</v>
      </c>
      <c r="H81" s="853">
        <f t="shared" si="7"/>
        <v>-0.99261138658010206</v>
      </c>
      <c r="I81" s="840">
        <f t="shared" si="8"/>
        <v>-222607</v>
      </c>
      <c r="J81" s="853">
        <f t="shared" si="9"/>
        <v>-0.99261138658010206</v>
      </c>
      <c r="K81" s="36"/>
    </row>
    <row r="82" spans="1:11" x14ac:dyDescent="0.2">
      <c r="A82" s="153" t="s">
        <v>630</v>
      </c>
      <c r="B82" s="462">
        <v>66168</v>
      </c>
      <c r="C82" s="462"/>
      <c r="D82" s="462"/>
      <c r="E82" s="462">
        <f t="shared" si="5"/>
        <v>66168</v>
      </c>
      <c r="F82" s="840">
        <v>66168</v>
      </c>
      <c r="G82" s="840">
        <f t="shared" si="6"/>
        <v>0</v>
      </c>
      <c r="H82" s="853">
        <f t="shared" si="7"/>
        <v>0</v>
      </c>
      <c r="I82" s="840">
        <f t="shared" si="8"/>
        <v>0</v>
      </c>
      <c r="J82" s="853">
        <f t="shared" si="9"/>
        <v>0</v>
      </c>
      <c r="K82" s="36"/>
    </row>
    <row r="83" spans="1:11" x14ac:dyDescent="0.2">
      <c r="A83" s="153" t="s">
        <v>631</v>
      </c>
      <c r="B83" s="462">
        <v>7650</v>
      </c>
      <c r="C83" s="462"/>
      <c r="D83" s="462"/>
      <c r="E83" s="462">
        <f t="shared" si="5"/>
        <v>7650</v>
      </c>
      <c r="F83" s="840"/>
      <c r="G83" s="840">
        <f t="shared" si="6"/>
        <v>-7650</v>
      </c>
      <c r="H83" s="853">
        <f t="shared" si="7"/>
        <v>-1</v>
      </c>
      <c r="I83" s="840">
        <f t="shared" si="8"/>
        <v>-7650</v>
      </c>
      <c r="J83" s="853">
        <f t="shared" si="9"/>
        <v>-1</v>
      </c>
      <c r="K83" s="36"/>
    </row>
    <row r="84" spans="1:11" ht="23.25" x14ac:dyDescent="0.2">
      <c r="A84" s="153" t="s">
        <v>632</v>
      </c>
      <c r="B84" s="462">
        <v>5062</v>
      </c>
      <c r="C84" s="462"/>
      <c r="D84" s="462"/>
      <c r="E84" s="462">
        <f t="shared" si="5"/>
        <v>5062</v>
      </c>
      <c r="F84" s="462"/>
      <c r="G84" s="462">
        <f t="shared" si="6"/>
        <v>-5062</v>
      </c>
      <c r="H84" s="539">
        <f t="shared" si="7"/>
        <v>-1</v>
      </c>
      <c r="I84" s="462">
        <f t="shared" si="8"/>
        <v>-5062</v>
      </c>
      <c r="J84" s="539">
        <f t="shared" si="9"/>
        <v>-1</v>
      </c>
      <c r="K84" s="36"/>
    </row>
    <row r="85" spans="1:11" x14ac:dyDescent="0.2">
      <c r="A85" s="153" t="s">
        <v>954</v>
      </c>
      <c r="B85" s="462"/>
      <c r="C85" s="462">
        <v>7301</v>
      </c>
      <c r="D85" s="462"/>
      <c r="E85" s="462">
        <f t="shared" si="5"/>
        <v>7301</v>
      </c>
      <c r="F85" s="462"/>
      <c r="G85" s="462">
        <f t="shared" si="6"/>
        <v>0</v>
      </c>
      <c r="H85" s="539"/>
      <c r="I85" s="462">
        <f t="shared" si="8"/>
        <v>-7301</v>
      </c>
      <c r="J85" s="539">
        <f t="shared" si="9"/>
        <v>-1</v>
      </c>
      <c r="K85" s="36"/>
    </row>
    <row r="86" spans="1:11" x14ac:dyDescent="0.2">
      <c r="A86" s="153"/>
      <c r="B86" s="255"/>
      <c r="C86" s="255"/>
      <c r="D86" s="255"/>
      <c r="E86" s="255">
        <f t="shared" si="5"/>
        <v>0</v>
      </c>
      <c r="F86" s="255"/>
      <c r="G86" s="255">
        <f t="shared" si="6"/>
        <v>0</v>
      </c>
      <c r="H86" s="524"/>
      <c r="I86" s="255">
        <f t="shared" si="8"/>
        <v>0</v>
      </c>
      <c r="J86" s="524"/>
      <c r="K86" s="36"/>
    </row>
    <row r="87" spans="1:11" x14ac:dyDescent="0.2">
      <c r="A87" s="66" t="s">
        <v>107</v>
      </c>
      <c r="B87" s="800">
        <f>SUM(B88:B94)</f>
        <v>4696053</v>
      </c>
      <c r="C87" s="800">
        <f>SUM(C88:C96)</f>
        <v>-1891861</v>
      </c>
      <c r="D87" s="800"/>
      <c r="E87" s="800">
        <f t="shared" si="5"/>
        <v>2804192</v>
      </c>
      <c r="F87" s="842">
        <f>SUM(F88:F96)</f>
        <v>2152276</v>
      </c>
      <c r="G87" s="842">
        <f t="shared" si="6"/>
        <v>-2543777</v>
      </c>
      <c r="H87" s="852">
        <f t="shared" si="7"/>
        <v>-0.54168404828480432</v>
      </c>
      <c r="I87" s="842">
        <f t="shared" si="8"/>
        <v>-651916</v>
      </c>
      <c r="J87" s="852">
        <f t="shared" si="9"/>
        <v>-0.23247908845043422</v>
      </c>
      <c r="K87" s="36"/>
    </row>
    <row r="88" spans="1:11" ht="24" x14ac:dyDescent="0.2">
      <c r="A88" s="154" t="s">
        <v>472</v>
      </c>
      <c r="B88" s="798">
        <v>401737</v>
      </c>
      <c r="C88" s="798">
        <v>53788</v>
      </c>
      <c r="D88" s="798"/>
      <c r="E88" s="798">
        <f t="shared" si="5"/>
        <v>455525</v>
      </c>
      <c r="F88" s="841"/>
      <c r="G88" s="841">
        <f t="shared" si="6"/>
        <v>-401737</v>
      </c>
      <c r="H88" s="855">
        <f t="shared" si="7"/>
        <v>-1</v>
      </c>
      <c r="I88" s="841">
        <f t="shared" si="8"/>
        <v>-455525</v>
      </c>
      <c r="J88" s="855">
        <f t="shared" si="9"/>
        <v>-1</v>
      </c>
      <c r="K88" s="36"/>
    </row>
    <row r="89" spans="1:11" x14ac:dyDescent="0.2">
      <c r="A89" s="258" t="s">
        <v>602</v>
      </c>
      <c r="B89" s="798">
        <v>18017</v>
      </c>
      <c r="C89" s="798">
        <v>8059</v>
      </c>
      <c r="D89" s="798"/>
      <c r="E89" s="798">
        <f t="shared" si="5"/>
        <v>26076</v>
      </c>
      <c r="F89" s="841"/>
      <c r="G89" s="841">
        <f t="shared" si="6"/>
        <v>-18017</v>
      </c>
      <c r="H89" s="855">
        <f t="shared" si="7"/>
        <v>-1</v>
      </c>
      <c r="I89" s="841">
        <f t="shared" si="8"/>
        <v>-26076</v>
      </c>
      <c r="J89" s="855">
        <f t="shared" si="9"/>
        <v>-1</v>
      </c>
      <c r="K89" s="36"/>
    </row>
    <row r="90" spans="1:11" x14ac:dyDescent="0.2">
      <c r="A90" s="258" t="s">
        <v>616</v>
      </c>
      <c r="B90" s="798">
        <f>22083+59706</f>
        <v>81789</v>
      </c>
      <c r="C90" s="798"/>
      <c r="D90" s="798"/>
      <c r="E90" s="798">
        <f t="shared" si="5"/>
        <v>81789</v>
      </c>
      <c r="F90" s="841"/>
      <c r="G90" s="841">
        <f t="shared" si="6"/>
        <v>-81789</v>
      </c>
      <c r="H90" s="855">
        <f t="shared" si="7"/>
        <v>-1</v>
      </c>
      <c r="I90" s="841">
        <f t="shared" si="8"/>
        <v>-81789</v>
      </c>
      <c r="J90" s="855">
        <f t="shared" si="9"/>
        <v>-1</v>
      </c>
      <c r="K90" s="36"/>
    </row>
    <row r="91" spans="1:11" ht="24" x14ac:dyDescent="0.2">
      <c r="A91" s="154" t="s">
        <v>633</v>
      </c>
      <c r="B91" s="798">
        <v>87208</v>
      </c>
      <c r="C91" s="798"/>
      <c r="D91" s="798"/>
      <c r="E91" s="798">
        <f t="shared" si="5"/>
        <v>87208</v>
      </c>
      <c r="F91" s="841">
        <v>87208</v>
      </c>
      <c r="G91" s="841">
        <f t="shared" si="6"/>
        <v>0</v>
      </c>
      <c r="H91" s="855">
        <f t="shared" si="7"/>
        <v>0</v>
      </c>
      <c r="I91" s="841">
        <f t="shared" si="8"/>
        <v>0</v>
      </c>
      <c r="J91" s="855">
        <f t="shared" si="9"/>
        <v>0</v>
      </c>
      <c r="K91" s="36"/>
    </row>
    <row r="92" spans="1:11" x14ac:dyDescent="0.2">
      <c r="A92" s="258" t="s">
        <v>634</v>
      </c>
      <c r="B92" s="798">
        <v>56950</v>
      </c>
      <c r="C92" s="798"/>
      <c r="D92" s="798"/>
      <c r="E92" s="798">
        <f t="shared" si="5"/>
        <v>56950</v>
      </c>
      <c r="F92" s="841"/>
      <c r="G92" s="841">
        <f t="shared" si="6"/>
        <v>-56950</v>
      </c>
      <c r="H92" s="855">
        <f t="shared" si="7"/>
        <v>-1</v>
      </c>
      <c r="I92" s="841">
        <f t="shared" si="8"/>
        <v>-56950</v>
      </c>
      <c r="J92" s="855">
        <f t="shared" si="9"/>
        <v>-1</v>
      </c>
      <c r="K92" s="36"/>
    </row>
    <row r="93" spans="1:11" x14ac:dyDescent="0.2">
      <c r="A93" s="258" t="s">
        <v>635</v>
      </c>
      <c r="B93" s="798">
        <v>50352</v>
      </c>
      <c r="C93" s="798"/>
      <c r="D93" s="798"/>
      <c r="E93" s="798">
        <f t="shared" si="5"/>
        <v>50352</v>
      </c>
      <c r="F93" s="841">
        <v>2076</v>
      </c>
      <c r="G93" s="841">
        <f t="shared" si="6"/>
        <v>-48276</v>
      </c>
      <c r="H93" s="855">
        <f t="shared" si="7"/>
        <v>-0.9587702573879886</v>
      </c>
      <c r="I93" s="841">
        <f t="shared" si="8"/>
        <v>-48276</v>
      </c>
      <c r="J93" s="855">
        <f t="shared" si="9"/>
        <v>-0.9587702573879886</v>
      </c>
      <c r="K93" s="36"/>
    </row>
    <row r="94" spans="1:11" x14ac:dyDescent="0.2">
      <c r="A94" s="258" t="s">
        <v>765</v>
      </c>
      <c r="B94" s="798">
        <v>4000000</v>
      </c>
      <c r="C94" s="798">
        <v>-2000000</v>
      </c>
      <c r="D94" s="798"/>
      <c r="E94" s="798">
        <f t="shared" si="5"/>
        <v>2000000</v>
      </c>
      <c r="F94" s="841">
        <v>2000000</v>
      </c>
      <c r="G94" s="841">
        <f t="shared" si="6"/>
        <v>-2000000</v>
      </c>
      <c r="H94" s="855">
        <f t="shared" si="7"/>
        <v>-0.5</v>
      </c>
      <c r="I94" s="841">
        <f t="shared" si="8"/>
        <v>0</v>
      </c>
      <c r="J94" s="855">
        <f t="shared" si="9"/>
        <v>0</v>
      </c>
      <c r="K94" s="36"/>
    </row>
    <row r="95" spans="1:11" ht="24" x14ac:dyDescent="0.2">
      <c r="A95" s="154" t="s">
        <v>910</v>
      </c>
      <c r="B95" s="798"/>
      <c r="C95" s="798">
        <v>64992</v>
      </c>
      <c r="D95" s="798"/>
      <c r="E95" s="798">
        <f t="shared" si="5"/>
        <v>64992</v>
      </c>
      <c r="F95" s="841">
        <v>62992</v>
      </c>
      <c r="G95" s="841">
        <f t="shared" si="6"/>
        <v>62992</v>
      </c>
      <c r="H95" s="855"/>
      <c r="I95" s="841">
        <f t="shared" si="8"/>
        <v>-2000</v>
      </c>
      <c r="J95" s="855">
        <f t="shared" si="9"/>
        <v>-3.0773018217626784E-2</v>
      </c>
      <c r="K95" s="36"/>
    </row>
    <row r="96" spans="1:11" x14ac:dyDescent="0.2">
      <c r="A96" s="154" t="s">
        <v>911</v>
      </c>
      <c r="B96" s="798"/>
      <c r="C96" s="798">
        <v>-18700</v>
      </c>
      <c r="D96" s="798"/>
      <c r="E96" s="798">
        <f t="shared" si="5"/>
        <v>-18700</v>
      </c>
      <c r="F96" s="841"/>
      <c r="G96" s="841">
        <f t="shared" si="6"/>
        <v>0</v>
      </c>
      <c r="H96" s="855"/>
      <c r="I96" s="841">
        <f t="shared" si="8"/>
        <v>18700</v>
      </c>
      <c r="J96" s="855">
        <f t="shared" si="9"/>
        <v>-1</v>
      </c>
      <c r="K96" s="36"/>
    </row>
    <row r="97" spans="1:11" x14ac:dyDescent="0.2">
      <c r="A97" s="154"/>
      <c r="B97" s="462"/>
      <c r="C97" s="462"/>
      <c r="D97" s="462"/>
      <c r="E97" s="462">
        <f t="shared" si="5"/>
        <v>0</v>
      </c>
      <c r="F97" s="462"/>
      <c r="G97" s="462">
        <f t="shared" si="6"/>
        <v>0</v>
      </c>
      <c r="H97" s="539"/>
      <c r="I97" s="462">
        <f t="shared" si="8"/>
        <v>0</v>
      </c>
      <c r="J97" s="539"/>
      <c r="K97" s="36"/>
    </row>
    <row r="98" spans="1:11" x14ac:dyDescent="0.2">
      <c r="A98" s="66" t="s">
        <v>531</v>
      </c>
      <c r="B98" s="144">
        <f>SUM(B99:B101)</f>
        <v>324633</v>
      </c>
      <c r="C98" s="144">
        <f>SUM(C99:C101)</f>
        <v>9774</v>
      </c>
      <c r="D98" s="144"/>
      <c r="E98" s="144">
        <f t="shared" si="5"/>
        <v>334407</v>
      </c>
      <c r="F98" s="839">
        <f>SUM(F99:F101)</f>
        <v>46306</v>
      </c>
      <c r="G98" s="839">
        <f t="shared" si="6"/>
        <v>-278327</v>
      </c>
      <c r="H98" s="852">
        <f t="shared" si="7"/>
        <v>-0.85735892530950331</v>
      </c>
      <c r="I98" s="839">
        <f t="shared" si="8"/>
        <v>-288101</v>
      </c>
      <c r="J98" s="852">
        <f t="shared" si="9"/>
        <v>-0.86152801825320646</v>
      </c>
      <c r="K98" s="36"/>
    </row>
    <row r="99" spans="1:11" ht="24" x14ac:dyDescent="0.2">
      <c r="A99" s="154" t="s">
        <v>482</v>
      </c>
      <c r="B99" s="462">
        <v>37300</v>
      </c>
      <c r="C99" s="462">
        <v>9774</v>
      </c>
      <c r="D99" s="462"/>
      <c r="E99" s="462">
        <f t="shared" si="5"/>
        <v>47074</v>
      </c>
      <c r="F99" s="840">
        <v>31126</v>
      </c>
      <c r="G99" s="840">
        <f t="shared" si="6"/>
        <v>-6174</v>
      </c>
      <c r="H99" s="853">
        <f t="shared" si="7"/>
        <v>-0.16552278820375335</v>
      </c>
      <c r="I99" s="840">
        <f t="shared" si="8"/>
        <v>-15948</v>
      </c>
      <c r="J99" s="853">
        <f t="shared" si="9"/>
        <v>-0.33878574159833452</v>
      </c>
      <c r="K99" s="36"/>
    </row>
    <row r="100" spans="1:11" ht="24" x14ac:dyDescent="0.2">
      <c r="A100" s="154" t="s">
        <v>484</v>
      </c>
      <c r="B100" s="462">
        <v>269333</v>
      </c>
      <c r="C100" s="462"/>
      <c r="D100" s="462"/>
      <c r="E100" s="462">
        <f t="shared" si="5"/>
        <v>269333</v>
      </c>
      <c r="F100" s="840"/>
      <c r="G100" s="840">
        <f t="shared" si="6"/>
        <v>-269333</v>
      </c>
      <c r="H100" s="853">
        <f t="shared" si="7"/>
        <v>-1</v>
      </c>
      <c r="I100" s="840">
        <f t="shared" si="8"/>
        <v>-269333</v>
      </c>
      <c r="J100" s="853">
        <f t="shared" si="9"/>
        <v>-1</v>
      </c>
      <c r="K100" s="36"/>
    </row>
    <row r="101" spans="1:11" x14ac:dyDescent="0.2">
      <c r="A101" s="258" t="s">
        <v>485</v>
      </c>
      <c r="B101" s="462">
        <v>18000</v>
      </c>
      <c r="C101" s="462"/>
      <c r="D101" s="462"/>
      <c r="E101" s="462">
        <f t="shared" si="5"/>
        <v>18000</v>
      </c>
      <c r="F101" s="840">
        <v>15180</v>
      </c>
      <c r="G101" s="840">
        <f t="shared" si="6"/>
        <v>-2820</v>
      </c>
      <c r="H101" s="853">
        <f t="shared" si="7"/>
        <v>-0.15666666666666668</v>
      </c>
      <c r="I101" s="840">
        <f t="shared" si="8"/>
        <v>-2820</v>
      </c>
      <c r="J101" s="853">
        <f t="shared" si="9"/>
        <v>-0.15666666666666668</v>
      </c>
      <c r="K101" s="36"/>
    </row>
    <row r="102" spans="1:11" x14ac:dyDescent="0.2">
      <c r="A102" s="154"/>
      <c r="B102" s="462"/>
      <c r="C102" s="462"/>
      <c r="D102" s="462"/>
      <c r="E102" s="462">
        <f t="shared" si="5"/>
        <v>0</v>
      </c>
      <c r="F102" s="462"/>
      <c r="G102" s="462">
        <f t="shared" si="6"/>
        <v>0</v>
      </c>
      <c r="H102" s="539"/>
      <c r="I102" s="462">
        <f t="shared" si="8"/>
        <v>0</v>
      </c>
      <c r="J102" s="539"/>
      <c r="K102" s="36"/>
    </row>
    <row r="103" spans="1:11" x14ac:dyDescent="0.2">
      <c r="A103" s="66" t="s">
        <v>532</v>
      </c>
      <c r="B103" s="800">
        <f>B104+B105</f>
        <v>38507</v>
      </c>
      <c r="C103" s="800"/>
      <c r="D103" s="800"/>
      <c r="E103" s="800">
        <f t="shared" si="5"/>
        <v>38507</v>
      </c>
      <c r="F103" s="800">
        <f>F104+F105</f>
        <v>27370</v>
      </c>
      <c r="G103" s="800">
        <f t="shared" si="6"/>
        <v>-11137</v>
      </c>
      <c r="H103" s="801">
        <f t="shared" si="7"/>
        <v>-0.28922014179240141</v>
      </c>
      <c r="I103" s="800">
        <f t="shared" si="8"/>
        <v>-11137</v>
      </c>
      <c r="J103" s="801">
        <f t="shared" si="9"/>
        <v>-0.28922014179240141</v>
      </c>
      <c r="K103" s="36"/>
    </row>
    <row r="104" spans="1:11" x14ac:dyDescent="0.2">
      <c r="A104" s="154" t="s">
        <v>844</v>
      </c>
      <c r="B104" s="462">
        <v>10117</v>
      </c>
      <c r="C104" s="462"/>
      <c r="D104" s="462"/>
      <c r="E104" s="462">
        <f t="shared" si="5"/>
        <v>10117</v>
      </c>
      <c r="F104" s="462"/>
      <c r="G104" s="462">
        <f t="shared" si="6"/>
        <v>-10117</v>
      </c>
      <c r="H104" s="539">
        <f t="shared" si="7"/>
        <v>-1</v>
      </c>
      <c r="I104" s="462">
        <f t="shared" si="8"/>
        <v>-10117</v>
      </c>
      <c r="J104" s="539">
        <f t="shared" si="9"/>
        <v>-1</v>
      </c>
      <c r="K104" s="36"/>
    </row>
    <row r="105" spans="1:11" ht="24" x14ac:dyDescent="0.2">
      <c r="A105" s="154" t="s">
        <v>841</v>
      </c>
      <c r="B105" s="798">
        <v>28390</v>
      </c>
      <c r="C105" s="798"/>
      <c r="D105" s="798"/>
      <c r="E105" s="798">
        <f t="shared" si="5"/>
        <v>28390</v>
      </c>
      <c r="F105" s="798">
        <v>27370</v>
      </c>
      <c r="G105" s="798">
        <f t="shared" si="6"/>
        <v>-1020</v>
      </c>
      <c r="H105" s="799">
        <f t="shared" si="7"/>
        <v>-3.5928143712574849E-2</v>
      </c>
      <c r="I105" s="798">
        <f t="shared" si="8"/>
        <v>-1020</v>
      </c>
      <c r="J105" s="799">
        <f t="shared" si="9"/>
        <v>-3.5928143712574849E-2</v>
      </c>
      <c r="K105" s="36"/>
    </row>
    <row r="106" spans="1:11" x14ac:dyDescent="0.2">
      <c r="A106" s="257"/>
      <c r="B106" s="462"/>
      <c r="C106" s="462"/>
      <c r="D106" s="462"/>
      <c r="E106" s="462">
        <f t="shared" si="5"/>
        <v>0</v>
      </c>
      <c r="F106" s="462"/>
      <c r="G106" s="462">
        <f t="shared" si="6"/>
        <v>0</v>
      </c>
      <c r="H106" s="539"/>
      <c r="I106" s="462">
        <f t="shared" si="8"/>
        <v>0</v>
      </c>
      <c r="J106" s="539"/>
      <c r="K106" s="36"/>
    </row>
    <row r="107" spans="1:11" x14ac:dyDescent="0.2">
      <c r="A107" s="756" t="s">
        <v>2</v>
      </c>
      <c r="B107" s="264">
        <f>+B109+B112</f>
        <v>4680940</v>
      </c>
      <c r="C107" s="264">
        <f>+C109+C112</f>
        <v>-306477</v>
      </c>
      <c r="D107" s="264">
        <f>+D109+D112</f>
        <v>-1376289</v>
      </c>
      <c r="E107" s="264">
        <f t="shared" si="5"/>
        <v>2998174</v>
      </c>
      <c r="F107" s="264">
        <f>+F109+F112+F127+F133</f>
        <v>19625201.170000002</v>
      </c>
      <c r="G107" s="264">
        <f t="shared" si="6"/>
        <v>14944261.170000002</v>
      </c>
      <c r="H107" s="538">
        <f t="shared" si="7"/>
        <v>3.1925769546287714</v>
      </c>
      <c r="I107" s="264">
        <f t="shared" si="8"/>
        <v>16627027.170000002</v>
      </c>
      <c r="J107" s="538">
        <f t="shared" si="9"/>
        <v>5.5457178836184964</v>
      </c>
      <c r="K107" s="36"/>
    </row>
    <row r="108" spans="1:11" x14ac:dyDescent="0.2">
      <c r="A108" s="756"/>
      <c r="B108" s="255"/>
      <c r="C108" s="255"/>
      <c r="D108" s="255"/>
      <c r="E108" s="255">
        <f t="shared" si="5"/>
        <v>0</v>
      </c>
      <c r="F108" s="255"/>
      <c r="G108" s="255">
        <f t="shared" si="6"/>
        <v>0</v>
      </c>
      <c r="H108" s="524"/>
      <c r="I108" s="255">
        <f t="shared" si="8"/>
        <v>0</v>
      </c>
      <c r="J108" s="524"/>
      <c r="K108" s="36"/>
    </row>
    <row r="109" spans="1:11" x14ac:dyDescent="0.2">
      <c r="A109" s="66" t="s">
        <v>779</v>
      </c>
      <c r="B109" s="264">
        <f>SUM(B110)</f>
        <v>60000</v>
      </c>
      <c r="C109" s="264"/>
      <c r="D109" s="264">
        <f>D110</f>
        <v>-60000</v>
      </c>
      <c r="E109" s="264">
        <f t="shared" si="5"/>
        <v>0</v>
      </c>
      <c r="F109" s="264">
        <f>F110</f>
        <v>120000</v>
      </c>
      <c r="G109" s="264">
        <f t="shared" si="6"/>
        <v>60000</v>
      </c>
      <c r="H109" s="538">
        <f t="shared" si="7"/>
        <v>1</v>
      </c>
      <c r="I109" s="264">
        <f t="shared" si="8"/>
        <v>120000</v>
      </c>
      <c r="J109" s="538"/>
      <c r="K109" s="36"/>
    </row>
    <row r="110" spans="1:11" x14ac:dyDescent="0.2">
      <c r="A110" s="258" t="s">
        <v>625</v>
      </c>
      <c r="B110" s="462">
        <v>60000</v>
      </c>
      <c r="C110" s="462"/>
      <c r="D110" s="462">
        <v>-60000</v>
      </c>
      <c r="E110" s="462">
        <f t="shared" si="5"/>
        <v>0</v>
      </c>
      <c r="F110" s="462">
        <v>120000</v>
      </c>
      <c r="G110" s="462">
        <f t="shared" si="6"/>
        <v>60000</v>
      </c>
      <c r="H110" s="539">
        <f t="shared" si="7"/>
        <v>1</v>
      </c>
      <c r="I110" s="462">
        <f t="shared" si="8"/>
        <v>120000</v>
      </c>
      <c r="J110" s="539"/>
      <c r="K110" s="36"/>
    </row>
    <row r="111" spans="1:11" x14ac:dyDescent="0.2">
      <c r="A111" s="257"/>
      <c r="B111" s="255"/>
      <c r="C111" s="255"/>
      <c r="D111" s="255"/>
      <c r="E111" s="255">
        <f t="shared" si="5"/>
        <v>0</v>
      </c>
      <c r="F111" s="255"/>
      <c r="G111" s="255">
        <f t="shared" si="6"/>
        <v>0</v>
      </c>
      <c r="H111" s="524"/>
      <c r="I111" s="255">
        <f t="shared" si="8"/>
        <v>0</v>
      </c>
      <c r="J111" s="524"/>
      <c r="K111" s="36"/>
    </row>
    <row r="112" spans="1:11" x14ac:dyDescent="0.2">
      <c r="A112" s="66" t="s">
        <v>531</v>
      </c>
      <c r="B112" s="144">
        <f>B114+B117+B123+B124+B125+B113</f>
        <v>4620940</v>
      </c>
      <c r="C112" s="144">
        <f>C114+C117+C123+C124+C125+C113</f>
        <v>-306477</v>
      </c>
      <c r="D112" s="839">
        <f>D114+D117+D123+D124+D125+D113+D122</f>
        <v>-1316289</v>
      </c>
      <c r="E112" s="144">
        <f t="shared" si="5"/>
        <v>2998174</v>
      </c>
      <c r="F112" s="839">
        <f>F114+F117+F123+F124+F125+F113</f>
        <v>5926933.1699999999</v>
      </c>
      <c r="G112" s="839">
        <f t="shared" si="6"/>
        <v>1305993.17</v>
      </c>
      <c r="H112" s="852">
        <f t="shared" si="7"/>
        <v>0.28262500054101547</v>
      </c>
      <c r="I112" s="839">
        <f t="shared" si="8"/>
        <v>2928759.17</v>
      </c>
      <c r="J112" s="852">
        <f t="shared" si="9"/>
        <v>0.97684763125822582</v>
      </c>
      <c r="K112" s="36"/>
    </row>
    <row r="113" spans="1:11" x14ac:dyDescent="0.2">
      <c r="A113" s="259" t="s">
        <v>473</v>
      </c>
      <c r="B113" s="143">
        <v>1172073</v>
      </c>
      <c r="C113" s="143"/>
      <c r="D113" s="843">
        <v>-1172073</v>
      </c>
      <c r="E113" s="143">
        <f t="shared" si="5"/>
        <v>0</v>
      </c>
      <c r="F113" s="844">
        <v>1172073</v>
      </c>
      <c r="G113" s="844">
        <f t="shared" si="6"/>
        <v>0</v>
      </c>
      <c r="H113" s="856">
        <f t="shared" si="7"/>
        <v>0</v>
      </c>
      <c r="I113" s="844">
        <f t="shared" si="8"/>
        <v>1172073</v>
      </c>
      <c r="J113" s="856"/>
      <c r="K113" s="36"/>
    </row>
    <row r="114" spans="1:11" x14ac:dyDescent="0.2">
      <c r="A114" s="261" t="s">
        <v>419</v>
      </c>
      <c r="B114" s="789">
        <f>SUM(B115:B115)</f>
        <v>1000000</v>
      </c>
      <c r="C114" s="789">
        <f>SUM(C115:C115)</f>
        <v>-1000000</v>
      </c>
      <c r="D114" s="789"/>
      <c r="E114" s="789">
        <f t="shared" si="5"/>
        <v>0</v>
      </c>
      <c r="F114" s="845">
        <f>SUM(F115:F116)</f>
        <v>1300000</v>
      </c>
      <c r="G114" s="845">
        <f t="shared" si="6"/>
        <v>300000</v>
      </c>
      <c r="H114" s="856">
        <f t="shared" si="7"/>
        <v>0.3</v>
      </c>
      <c r="I114" s="845">
        <f t="shared" si="8"/>
        <v>1300000</v>
      </c>
      <c r="J114" s="856"/>
      <c r="K114" s="36"/>
    </row>
    <row r="115" spans="1:11" x14ac:dyDescent="0.2">
      <c r="A115" s="260" t="s">
        <v>637</v>
      </c>
      <c r="B115" s="790">
        <v>1000000</v>
      </c>
      <c r="C115" s="790">
        <v>-1000000</v>
      </c>
      <c r="D115" s="790"/>
      <c r="E115" s="790">
        <f t="shared" si="5"/>
        <v>0</v>
      </c>
      <c r="F115" s="846"/>
      <c r="G115" s="846">
        <f t="shared" si="6"/>
        <v>-1000000</v>
      </c>
      <c r="H115" s="857">
        <f t="shared" si="7"/>
        <v>-1</v>
      </c>
      <c r="I115" s="846">
        <f t="shared" si="8"/>
        <v>0</v>
      </c>
      <c r="J115" s="857"/>
      <c r="K115" s="36"/>
    </row>
    <row r="116" spans="1:11" s="486" customFormat="1" x14ac:dyDescent="0.2">
      <c r="A116" s="750" t="s">
        <v>992</v>
      </c>
      <c r="B116" s="846"/>
      <c r="C116" s="846"/>
      <c r="D116" s="846"/>
      <c r="E116" s="846">
        <f t="shared" si="5"/>
        <v>0</v>
      </c>
      <c r="F116" s="846">
        <v>1300000</v>
      </c>
      <c r="G116" s="846">
        <f t="shared" si="6"/>
        <v>1300000</v>
      </c>
      <c r="H116" s="857"/>
      <c r="I116" s="846">
        <f t="shared" si="8"/>
        <v>1300000</v>
      </c>
      <c r="J116" s="857"/>
      <c r="K116" s="6"/>
    </row>
    <row r="117" spans="1:11" x14ac:dyDescent="0.2">
      <c r="A117" s="261" t="s">
        <v>420</v>
      </c>
      <c r="B117" s="789">
        <f>SUM(B118:B119)</f>
        <v>1139153</v>
      </c>
      <c r="C117" s="789">
        <f>SUM(C118:C121)</f>
        <v>693523</v>
      </c>
      <c r="D117" s="832">
        <f>SUM(D118:D121)</f>
        <v>-150000</v>
      </c>
      <c r="E117" s="789">
        <f t="shared" si="5"/>
        <v>1682676</v>
      </c>
      <c r="F117" s="845">
        <f>SUM(F118:F121)</f>
        <v>1363420</v>
      </c>
      <c r="G117" s="845">
        <f t="shared" si="6"/>
        <v>224267</v>
      </c>
      <c r="H117" s="856">
        <f t="shared" si="7"/>
        <v>0.19687171082374361</v>
      </c>
      <c r="I117" s="845">
        <f t="shared" si="8"/>
        <v>-319256</v>
      </c>
      <c r="J117" s="856">
        <f t="shared" si="9"/>
        <v>-0.18973111876558529</v>
      </c>
      <c r="K117" s="36"/>
    </row>
    <row r="118" spans="1:11" x14ac:dyDescent="0.2">
      <c r="A118" s="260" t="s">
        <v>533</v>
      </c>
      <c r="B118" s="847">
        <v>371733</v>
      </c>
      <c r="C118" s="847"/>
      <c r="D118" s="846"/>
      <c r="E118" s="847">
        <f t="shared" si="5"/>
        <v>371733</v>
      </c>
      <c r="F118" s="848"/>
      <c r="G118" s="848">
        <f t="shared" si="6"/>
        <v>-371733</v>
      </c>
      <c r="H118" s="858">
        <f t="shared" si="7"/>
        <v>-1</v>
      </c>
      <c r="I118" s="848">
        <f t="shared" si="8"/>
        <v>-371733</v>
      </c>
      <c r="J118" s="858">
        <f t="shared" si="9"/>
        <v>-1</v>
      </c>
      <c r="K118" s="36"/>
    </row>
    <row r="119" spans="1:11" x14ac:dyDescent="0.2">
      <c r="A119" s="267" t="s">
        <v>502</v>
      </c>
      <c r="B119" s="847">
        <v>767420</v>
      </c>
      <c r="C119" s="847"/>
      <c r="D119" s="846"/>
      <c r="E119" s="847">
        <f t="shared" si="5"/>
        <v>767420</v>
      </c>
      <c r="F119" s="848">
        <v>767420</v>
      </c>
      <c r="G119" s="848">
        <f t="shared" si="6"/>
        <v>0</v>
      </c>
      <c r="H119" s="858">
        <f t="shared" si="7"/>
        <v>0</v>
      </c>
      <c r="I119" s="848">
        <f t="shared" si="8"/>
        <v>0</v>
      </c>
      <c r="J119" s="858">
        <f t="shared" si="9"/>
        <v>0</v>
      </c>
      <c r="K119" s="36"/>
    </row>
    <row r="120" spans="1:11" s="486" customFormat="1" x14ac:dyDescent="0.2">
      <c r="A120" s="267" t="s">
        <v>962</v>
      </c>
      <c r="B120" s="846"/>
      <c r="C120" s="846">
        <v>424813</v>
      </c>
      <c r="D120" s="846"/>
      <c r="E120" s="846">
        <f t="shared" si="5"/>
        <v>424813</v>
      </c>
      <c r="F120" s="846"/>
      <c r="G120" s="846">
        <f t="shared" si="6"/>
        <v>0</v>
      </c>
      <c r="H120" s="857"/>
      <c r="I120" s="846">
        <f t="shared" si="8"/>
        <v>-424813</v>
      </c>
      <c r="J120" s="857">
        <f t="shared" si="9"/>
        <v>-1</v>
      </c>
      <c r="K120" s="6"/>
    </row>
    <row r="121" spans="1:11" s="486" customFormat="1" ht="22.5" x14ac:dyDescent="0.2">
      <c r="A121" s="267" t="s">
        <v>963</v>
      </c>
      <c r="B121" s="846"/>
      <c r="C121" s="846">
        <v>268710</v>
      </c>
      <c r="D121" s="846">
        <v>-150000</v>
      </c>
      <c r="E121" s="846">
        <f t="shared" si="5"/>
        <v>118710</v>
      </c>
      <c r="F121" s="846">
        <v>596000</v>
      </c>
      <c r="G121" s="846">
        <f t="shared" si="6"/>
        <v>596000</v>
      </c>
      <c r="H121" s="857"/>
      <c r="I121" s="846">
        <f t="shared" si="8"/>
        <v>477290</v>
      </c>
      <c r="J121" s="857">
        <f t="shared" si="9"/>
        <v>4.0206385308735575</v>
      </c>
      <c r="K121" s="6"/>
    </row>
    <row r="122" spans="1:11" s="486" customFormat="1" x14ac:dyDescent="0.2">
      <c r="A122" s="849" t="s">
        <v>1065</v>
      </c>
      <c r="B122" s="846"/>
      <c r="C122" s="846"/>
      <c r="D122" s="846">
        <v>605784</v>
      </c>
      <c r="E122" s="846">
        <f t="shared" si="5"/>
        <v>605784</v>
      </c>
      <c r="F122" s="846"/>
      <c r="G122" s="846">
        <f t="shared" si="6"/>
        <v>0</v>
      </c>
      <c r="H122" s="857"/>
      <c r="I122" s="846">
        <f t="shared" si="8"/>
        <v>-605784</v>
      </c>
      <c r="J122" s="857">
        <f t="shared" si="9"/>
        <v>-1</v>
      </c>
      <c r="K122" s="6"/>
    </row>
    <row r="123" spans="1:11" x14ac:dyDescent="0.2">
      <c r="A123" s="261" t="s">
        <v>638</v>
      </c>
      <c r="B123" s="263">
        <v>1200000</v>
      </c>
      <c r="C123" s="263"/>
      <c r="D123" s="832">
        <v>-600000</v>
      </c>
      <c r="E123" s="263">
        <f t="shared" si="5"/>
        <v>600000</v>
      </c>
      <c r="F123" s="832">
        <v>2091440.17</v>
      </c>
      <c r="G123" s="832">
        <f t="shared" si="6"/>
        <v>891440.16999999993</v>
      </c>
      <c r="H123" s="837">
        <f t="shared" si="7"/>
        <v>0.74286680833333329</v>
      </c>
      <c r="I123" s="832">
        <f t="shared" si="8"/>
        <v>1491440.17</v>
      </c>
      <c r="J123" s="837">
        <f t="shared" si="9"/>
        <v>2.4857336166666664</v>
      </c>
      <c r="K123" s="36"/>
    </row>
    <row r="124" spans="1:11" x14ac:dyDescent="0.2">
      <c r="A124" s="788" t="s">
        <v>534</v>
      </c>
      <c r="B124" s="789">
        <v>91714</v>
      </c>
      <c r="C124" s="789"/>
      <c r="D124" s="789"/>
      <c r="E124" s="789">
        <f t="shared" ref="E124:E138" si="10">B124+C124+D124</f>
        <v>91714</v>
      </c>
      <c r="F124" s="789"/>
      <c r="G124" s="789">
        <f t="shared" si="6"/>
        <v>-91714</v>
      </c>
      <c r="H124" s="850">
        <f t="shared" si="7"/>
        <v>-1</v>
      </c>
      <c r="I124" s="789">
        <f t="shared" si="8"/>
        <v>-91714</v>
      </c>
      <c r="J124" s="850">
        <f t="shared" si="9"/>
        <v>-1</v>
      </c>
      <c r="K124" s="36"/>
    </row>
    <row r="125" spans="1:11" x14ac:dyDescent="0.2">
      <c r="A125" s="258" t="s">
        <v>485</v>
      </c>
      <c r="B125" s="802">
        <v>18000</v>
      </c>
      <c r="C125" s="802"/>
      <c r="D125" s="802"/>
      <c r="E125" s="802">
        <f t="shared" si="10"/>
        <v>18000</v>
      </c>
      <c r="F125" s="802"/>
      <c r="G125" s="802">
        <f t="shared" si="6"/>
        <v>-18000</v>
      </c>
      <c r="H125" s="539">
        <f t="shared" si="7"/>
        <v>-1</v>
      </c>
      <c r="I125" s="802">
        <f t="shared" si="8"/>
        <v>-18000</v>
      </c>
      <c r="J125" s="539">
        <f t="shared" si="9"/>
        <v>-1</v>
      </c>
      <c r="K125" s="36"/>
    </row>
    <row r="126" spans="1:11" x14ac:dyDescent="0.2">
      <c r="A126" s="258"/>
      <c r="B126" s="802"/>
      <c r="C126" s="802"/>
      <c r="D126" s="802"/>
      <c r="E126" s="802">
        <f t="shared" si="10"/>
        <v>0</v>
      </c>
      <c r="F126" s="802"/>
      <c r="G126" s="802">
        <f t="shared" si="6"/>
        <v>0</v>
      </c>
      <c r="H126" s="539"/>
      <c r="I126" s="802">
        <f t="shared" si="8"/>
        <v>0</v>
      </c>
      <c r="J126" s="539"/>
      <c r="K126" s="36"/>
    </row>
    <row r="127" spans="1:11" x14ac:dyDescent="0.2">
      <c r="A127" s="66" t="s">
        <v>110</v>
      </c>
      <c r="B127" s="802"/>
      <c r="C127" s="802"/>
      <c r="D127" s="802"/>
      <c r="E127" s="802">
        <f t="shared" si="10"/>
        <v>0</v>
      </c>
      <c r="F127" s="802">
        <f>F128+F129+F130+F131</f>
        <v>12551000</v>
      </c>
      <c r="G127" s="802">
        <f t="shared" si="6"/>
        <v>12551000</v>
      </c>
      <c r="H127" s="539"/>
      <c r="I127" s="802">
        <f t="shared" si="8"/>
        <v>12551000</v>
      </c>
      <c r="J127" s="539"/>
      <c r="K127" s="36"/>
    </row>
    <row r="128" spans="1:11" s="738" customFormat="1" x14ac:dyDescent="0.2">
      <c r="A128" s="788" t="s">
        <v>1014</v>
      </c>
      <c r="B128" s="802"/>
      <c r="C128" s="802"/>
      <c r="D128" s="802"/>
      <c r="E128" s="802">
        <f t="shared" si="10"/>
        <v>0</v>
      </c>
      <c r="F128" s="802">
        <v>120000</v>
      </c>
      <c r="G128" s="802">
        <f t="shared" si="6"/>
        <v>120000</v>
      </c>
      <c r="H128" s="539"/>
      <c r="I128" s="802">
        <f t="shared" si="8"/>
        <v>120000</v>
      </c>
      <c r="J128" s="539"/>
      <c r="K128" s="36"/>
    </row>
    <row r="129" spans="1:11" s="738" customFormat="1" x14ac:dyDescent="0.2">
      <c r="A129" s="788" t="s">
        <v>1015</v>
      </c>
      <c r="B129" s="802"/>
      <c r="C129" s="802"/>
      <c r="D129" s="802"/>
      <c r="E129" s="802">
        <f t="shared" si="10"/>
        <v>0</v>
      </c>
      <c r="F129" s="802">
        <v>120000</v>
      </c>
      <c r="G129" s="802">
        <f t="shared" si="6"/>
        <v>120000</v>
      </c>
      <c r="H129" s="539"/>
      <c r="I129" s="802">
        <f t="shared" si="8"/>
        <v>120000</v>
      </c>
      <c r="J129" s="539"/>
      <c r="K129" s="36"/>
    </row>
    <row r="130" spans="1:11" s="738" customFormat="1" x14ac:dyDescent="0.2">
      <c r="A130" s="788" t="s">
        <v>1013</v>
      </c>
      <c r="B130" s="802"/>
      <c r="C130" s="802"/>
      <c r="D130" s="802"/>
      <c r="E130" s="802">
        <f t="shared" si="10"/>
        <v>0</v>
      </c>
      <c r="F130" s="802">
        <v>11380000</v>
      </c>
      <c r="G130" s="802">
        <f t="shared" si="6"/>
        <v>11380000</v>
      </c>
      <c r="H130" s="539"/>
      <c r="I130" s="802">
        <f t="shared" si="8"/>
        <v>11380000</v>
      </c>
      <c r="J130" s="539"/>
      <c r="K130" s="36"/>
    </row>
    <row r="131" spans="1:11" s="738" customFormat="1" x14ac:dyDescent="0.2">
      <c r="A131" s="788" t="s">
        <v>1019</v>
      </c>
      <c r="B131" s="802"/>
      <c r="C131" s="802"/>
      <c r="D131" s="802"/>
      <c r="E131" s="802">
        <f t="shared" si="10"/>
        <v>0</v>
      </c>
      <c r="F131" s="802">
        <v>931000</v>
      </c>
      <c r="G131" s="802">
        <f t="shared" si="6"/>
        <v>931000</v>
      </c>
      <c r="H131" s="539"/>
      <c r="I131" s="802">
        <f t="shared" si="8"/>
        <v>931000</v>
      </c>
      <c r="J131" s="539"/>
      <c r="K131" s="36"/>
    </row>
    <row r="132" spans="1:11" x14ac:dyDescent="0.2">
      <c r="A132" s="258"/>
      <c r="B132" s="802"/>
      <c r="C132" s="802"/>
      <c r="D132" s="802"/>
      <c r="E132" s="802">
        <f t="shared" si="10"/>
        <v>0</v>
      </c>
      <c r="F132" s="802"/>
      <c r="G132" s="802">
        <f t="shared" si="6"/>
        <v>0</v>
      </c>
      <c r="H132" s="539"/>
      <c r="I132" s="802">
        <f t="shared" si="8"/>
        <v>0</v>
      </c>
      <c r="J132" s="539"/>
      <c r="K132" s="36"/>
    </row>
    <row r="133" spans="1:11" x14ac:dyDescent="0.2">
      <c r="A133" s="66" t="s">
        <v>107</v>
      </c>
      <c r="B133" s="802"/>
      <c r="C133" s="802"/>
      <c r="D133" s="802"/>
      <c r="E133" s="802">
        <f t="shared" si="10"/>
        <v>0</v>
      </c>
      <c r="F133" s="802">
        <f>F134</f>
        <v>1027268</v>
      </c>
      <c r="G133" s="802">
        <f t="shared" ref="G133:G138" si="11">F133-B133</f>
        <v>1027268</v>
      </c>
      <c r="H133" s="539"/>
      <c r="I133" s="802">
        <f t="shared" ref="I133:I138" si="12">F133-E133</f>
        <v>1027268</v>
      </c>
      <c r="J133" s="539"/>
      <c r="K133" s="36"/>
    </row>
    <row r="134" spans="1:11" x14ac:dyDescent="0.2">
      <c r="A134" s="788" t="s">
        <v>1016</v>
      </c>
      <c r="B134" s="268"/>
      <c r="C134" s="268"/>
      <c r="D134" s="268"/>
      <c r="E134" s="268">
        <f t="shared" si="10"/>
        <v>0</v>
      </c>
      <c r="F134" s="268">
        <v>1027268</v>
      </c>
      <c r="G134" s="268">
        <f t="shared" si="11"/>
        <v>1027268</v>
      </c>
      <c r="H134" s="541"/>
      <c r="I134" s="268">
        <f t="shared" si="12"/>
        <v>1027268</v>
      </c>
      <c r="J134" s="541"/>
      <c r="K134" s="36"/>
    </row>
    <row r="135" spans="1:11" x14ac:dyDescent="0.2">
      <c r="A135" s="788"/>
      <c r="B135" s="268"/>
      <c r="C135" s="268"/>
      <c r="D135" s="268"/>
      <c r="E135" s="268">
        <f t="shared" si="10"/>
        <v>0</v>
      </c>
      <c r="F135" s="268"/>
      <c r="G135" s="268">
        <f t="shared" si="11"/>
        <v>0</v>
      </c>
      <c r="H135" s="541"/>
      <c r="I135" s="268">
        <f t="shared" si="12"/>
        <v>0</v>
      </c>
      <c r="J135" s="541"/>
      <c r="K135" s="36"/>
    </row>
    <row r="136" spans="1:11" x14ac:dyDescent="0.2">
      <c r="A136" s="3" t="s">
        <v>1073</v>
      </c>
      <c r="B136" s="268"/>
      <c r="C136" s="268"/>
      <c r="D136" s="268"/>
      <c r="E136" s="268">
        <f t="shared" si="10"/>
        <v>0</v>
      </c>
      <c r="F136" s="268">
        <v>49800</v>
      </c>
      <c r="G136" s="268">
        <f t="shared" si="11"/>
        <v>49800</v>
      </c>
      <c r="H136" s="541"/>
      <c r="I136" s="268">
        <f t="shared" si="12"/>
        <v>49800</v>
      </c>
      <c r="J136" s="541"/>
      <c r="K136" s="36"/>
    </row>
    <row r="137" spans="1:11" x14ac:dyDescent="0.2">
      <c r="A137" s="255"/>
      <c r="B137" s="268"/>
      <c r="C137" s="268"/>
      <c r="D137" s="268"/>
      <c r="E137" s="268">
        <f t="shared" si="10"/>
        <v>0</v>
      </c>
      <c r="F137" s="268"/>
      <c r="G137" s="268">
        <f t="shared" si="11"/>
        <v>0</v>
      </c>
      <c r="H137" s="541"/>
      <c r="I137" s="268">
        <f t="shared" si="12"/>
        <v>0</v>
      </c>
      <c r="J137" s="541"/>
      <c r="K137" s="36"/>
    </row>
    <row r="138" spans="1:11" x14ac:dyDescent="0.2">
      <c r="A138" s="21" t="s">
        <v>4</v>
      </c>
      <c r="B138" s="262">
        <f>B5+B54+B41</f>
        <v>144604022</v>
      </c>
      <c r="C138" s="262">
        <f>C5+C54+C41</f>
        <v>15315943</v>
      </c>
      <c r="D138" s="262">
        <f>D5+D54+D41</f>
        <v>-1516988</v>
      </c>
      <c r="E138" s="262">
        <f t="shared" si="10"/>
        <v>158402977</v>
      </c>
      <c r="F138" s="262">
        <f>F5+F54+F41+F136</f>
        <v>173832878.17000002</v>
      </c>
      <c r="G138" s="262">
        <f t="shared" si="11"/>
        <v>29228856.170000017</v>
      </c>
      <c r="H138" s="536">
        <f t="shared" ref="H138" si="13">G138/B138</f>
        <v>0.20213031259946571</v>
      </c>
      <c r="I138" s="262">
        <f t="shared" si="12"/>
        <v>15429901.170000017</v>
      </c>
      <c r="J138" s="536">
        <f t="shared" ref="J138" si="14">I138/E138</f>
        <v>9.7409161508372519E-2</v>
      </c>
      <c r="K138" s="36"/>
    </row>
    <row r="139" spans="1:11" x14ac:dyDescent="0.2">
      <c r="A139" s="21"/>
      <c r="B139" s="262"/>
      <c r="C139" s="262"/>
      <c r="D139" s="262"/>
      <c r="E139" s="851"/>
      <c r="F139" s="851"/>
      <c r="G139" s="851"/>
      <c r="H139" s="851"/>
      <c r="I139" s="851"/>
      <c r="J139" s="851"/>
      <c r="K139" s="36"/>
    </row>
    <row r="140" spans="1:11" x14ac:dyDescent="0.2">
      <c r="A140" s="23"/>
      <c r="B140" s="769"/>
      <c r="C140" s="769"/>
      <c r="D140" s="769"/>
      <c r="E140" s="851"/>
      <c r="F140" s="120"/>
      <c r="G140" s="120"/>
      <c r="H140" s="120"/>
      <c r="I140" s="851"/>
      <c r="J140" s="851"/>
      <c r="K140" s="36"/>
    </row>
    <row r="141" spans="1:11" x14ac:dyDescent="0.2">
      <c r="A141" s="23"/>
      <c r="B141" s="769"/>
      <c r="C141" s="769"/>
      <c r="D141" s="769"/>
    </row>
    <row r="142" spans="1:11" x14ac:dyDescent="0.2">
      <c r="A142" s="23"/>
      <c r="B142" s="769"/>
      <c r="C142" s="769"/>
      <c r="D142" s="769"/>
    </row>
    <row r="143" spans="1:11" x14ac:dyDescent="0.2">
      <c r="A143" s="17"/>
    </row>
    <row r="144" spans="1:11" x14ac:dyDescent="0.2">
      <c r="A144" s="136"/>
    </row>
    <row r="145" spans="1:1" x14ac:dyDescent="0.2">
      <c r="A145" s="136"/>
    </row>
  </sheetData>
  <autoFilter ref="A4:J138" xr:uid="{CB9ED13D-9508-4CB4-97F7-BB63BFADABDF}"/>
  <mergeCells count="3">
    <mergeCell ref="I2:J2"/>
    <mergeCell ref="B2:E2"/>
    <mergeCell ref="G2:H2"/>
  </mergeCells>
  <phoneticPr fontId="37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theme="9" tint="0.79998168889431442"/>
  </sheetPr>
  <dimension ref="A1:N1942"/>
  <sheetViews>
    <sheetView showZeros="0" zoomScaleNormal="100" workbookViewId="0">
      <pane xSplit="3" ySplit="3" topLeftCell="D4" activePane="bottomRight" state="frozen"/>
      <selection activeCell="H16" sqref="H16:H20"/>
      <selection pane="topRight" activeCell="H16" sqref="H16:H20"/>
      <selection pane="bottomLeft" activeCell="H16" sqref="H16:H20"/>
      <selection pane="bottomRight" activeCell="C1" sqref="C1"/>
    </sheetView>
  </sheetViews>
  <sheetFormatPr defaultRowHeight="12.75" x14ac:dyDescent="0.2"/>
  <cols>
    <col min="1" max="1" width="6.28515625" style="503" hidden="1" customWidth="1"/>
    <col min="2" max="2" width="4.85546875" style="503" hidden="1" customWidth="1"/>
    <col min="3" max="3" width="38.7109375" style="12" customWidth="1"/>
    <col min="4" max="4" width="14.140625" bestFit="1" customWidth="1"/>
    <col min="5" max="5" width="13.42578125" style="56" hidden="1" customWidth="1"/>
    <col min="6" max="6" width="12.7109375" style="486" hidden="1" customWidth="1"/>
    <col min="7" max="7" width="11.42578125" style="486" hidden="1" customWidth="1"/>
    <col min="8" max="8" width="14.140625" bestFit="1" customWidth="1"/>
    <col min="9" max="9" width="15.42578125" style="744" bestFit="1" customWidth="1"/>
    <col min="10" max="10" width="12.7109375" bestFit="1" customWidth="1"/>
    <col min="12" max="12" width="12.7109375" bestFit="1" customWidth="1"/>
    <col min="13" max="13" width="12" bestFit="1" customWidth="1"/>
    <col min="14" max="14" width="11" customWidth="1"/>
  </cols>
  <sheetData>
    <row r="1" spans="1:13" ht="15" x14ac:dyDescent="0.25">
      <c r="C1" s="432" t="s">
        <v>115</v>
      </c>
      <c r="D1" s="56"/>
      <c r="I1" s="152" t="s">
        <v>53</v>
      </c>
    </row>
    <row r="2" spans="1:13" s="6" customFormat="1" ht="31.5" customHeight="1" x14ac:dyDescent="0.2">
      <c r="A2" s="4"/>
      <c r="B2" s="459"/>
      <c r="C2" s="4"/>
      <c r="D2" s="1000">
        <v>2021</v>
      </c>
      <c r="E2" s="1001"/>
      <c r="F2" s="1001"/>
      <c r="G2" s="1001"/>
      <c r="H2" s="1002"/>
      <c r="I2" s="807">
        <v>2022</v>
      </c>
      <c r="J2" s="998" t="s">
        <v>1075</v>
      </c>
      <c r="K2" s="999"/>
      <c r="L2" s="996" t="s">
        <v>1076</v>
      </c>
      <c r="M2" s="997"/>
    </row>
    <row r="3" spans="1:13" s="6" customFormat="1" ht="25.5" x14ac:dyDescent="0.2">
      <c r="A3" s="459"/>
      <c r="B3" s="459"/>
      <c r="C3" s="4"/>
      <c r="D3" s="813" t="s">
        <v>859</v>
      </c>
      <c r="E3" s="813" t="s">
        <v>1077</v>
      </c>
      <c r="F3" s="813" t="s">
        <v>984</v>
      </c>
      <c r="G3" s="813" t="s">
        <v>1066</v>
      </c>
      <c r="H3" s="813" t="s">
        <v>860</v>
      </c>
      <c r="I3" s="808" t="s">
        <v>1074</v>
      </c>
      <c r="J3" s="809" t="s">
        <v>53</v>
      </c>
      <c r="K3" s="810" t="s">
        <v>981</v>
      </c>
      <c r="L3" s="811" t="s">
        <v>53</v>
      </c>
      <c r="M3" s="812" t="s">
        <v>981</v>
      </c>
    </row>
    <row r="4" spans="1:13" x14ac:dyDescent="0.2">
      <c r="C4" s="4"/>
      <c r="D4" s="56"/>
    </row>
    <row r="5" spans="1:13" ht="15.75" x14ac:dyDescent="0.2">
      <c r="C5" s="433" t="s">
        <v>48</v>
      </c>
      <c r="E5" s="152"/>
      <c r="F5" s="152"/>
      <c r="G5" s="152"/>
    </row>
    <row r="6" spans="1:13" x14ac:dyDescent="0.2">
      <c r="C6" s="328"/>
      <c r="D6" s="170"/>
      <c r="E6" s="170"/>
      <c r="F6" s="488"/>
      <c r="G6" s="488"/>
    </row>
    <row r="7" spans="1:13" x14ac:dyDescent="0.2">
      <c r="C7" s="328" t="s">
        <v>193</v>
      </c>
      <c r="D7" s="170">
        <f>D14+D18+D21</f>
        <v>2629982</v>
      </c>
      <c r="E7" s="170"/>
      <c r="F7" s="488">
        <f>F14+F18+F21</f>
        <v>-20376</v>
      </c>
      <c r="G7" s="570">
        <f>G14+G18+G21</f>
        <v>19202</v>
      </c>
      <c r="H7" s="488">
        <f>D7+E7+F7+G7</f>
        <v>2628808</v>
      </c>
      <c r="I7" s="488">
        <v>2807699</v>
      </c>
      <c r="J7" s="488">
        <f>I7-D7</f>
        <v>177717</v>
      </c>
      <c r="K7" s="865">
        <f>J7/D7</f>
        <v>6.7573466282278741E-2</v>
      </c>
      <c r="L7" s="488">
        <f>I7-H7</f>
        <v>178891</v>
      </c>
      <c r="M7" s="865">
        <f>L7/H7</f>
        <v>6.8050234174576466E-2</v>
      </c>
    </row>
    <row r="8" spans="1:13" x14ac:dyDescent="0.2">
      <c r="C8" s="101" t="s">
        <v>479</v>
      </c>
      <c r="D8" s="182">
        <v>85075</v>
      </c>
      <c r="E8" s="182"/>
      <c r="F8" s="491"/>
      <c r="G8" s="571"/>
      <c r="H8" s="491">
        <f t="shared" ref="H8:H71" si="0">D8+E8+F8+G8</f>
        <v>85075</v>
      </c>
      <c r="I8" s="491">
        <v>85075</v>
      </c>
      <c r="J8" s="491">
        <f t="shared" ref="J8:J71" si="1">I8-D8</f>
        <v>0</v>
      </c>
      <c r="K8" s="866">
        <f t="shared" ref="K8:K68" si="2">J8/D8</f>
        <v>0</v>
      </c>
      <c r="L8" s="491">
        <f t="shared" ref="L8:L71" si="3">I8-H8</f>
        <v>0</v>
      </c>
      <c r="M8" s="866">
        <f t="shared" ref="M8:M70" si="4">L8/H8</f>
        <v>0</v>
      </c>
    </row>
    <row r="9" spans="1:13" x14ac:dyDescent="0.2">
      <c r="C9" s="329" t="s">
        <v>116</v>
      </c>
      <c r="D9" s="183">
        <f>D10+D11</f>
        <v>2629982</v>
      </c>
      <c r="E9" s="183"/>
      <c r="F9" s="183">
        <f>F10+F11</f>
        <v>-20376</v>
      </c>
      <c r="G9" s="570">
        <f>G10+G11</f>
        <v>19202</v>
      </c>
      <c r="H9" s="183">
        <f t="shared" si="0"/>
        <v>2628808</v>
      </c>
      <c r="I9" s="183">
        <v>2807699</v>
      </c>
      <c r="J9" s="183">
        <f t="shared" si="1"/>
        <v>177717</v>
      </c>
      <c r="K9" s="528">
        <f t="shared" si="2"/>
        <v>6.7573466282278741E-2</v>
      </c>
      <c r="L9" s="183">
        <f t="shared" si="3"/>
        <v>178891</v>
      </c>
      <c r="M9" s="528">
        <f t="shared" si="4"/>
        <v>6.8050234174576466E-2</v>
      </c>
    </row>
    <row r="10" spans="1:13" x14ac:dyDescent="0.2">
      <c r="C10" s="101" t="s">
        <v>117</v>
      </c>
      <c r="D10" s="182">
        <f>'2.2 OMATULUD'!B5</f>
        <v>28450</v>
      </c>
      <c r="E10" s="182"/>
      <c r="F10" s="491">
        <v>-4950</v>
      </c>
      <c r="G10" s="571"/>
      <c r="H10" s="491">
        <f t="shared" si="0"/>
        <v>23500</v>
      </c>
      <c r="I10" s="491">
        <v>28450</v>
      </c>
      <c r="J10" s="491">
        <f t="shared" si="1"/>
        <v>0</v>
      </c>
      <c r="K10" s="866">
        <f t="shared" si="2"/>
        <v>0</v>
      </c>
      <c r="L10" s="491">
        <f t="shared" si="3"/>
        <v>4950</v>
      </c>
      <c r="M10" s="866">
        <f t="shared" si="4"/>
        <v>0.21063829787234042</v>
      </c>
    </row>
    <row r="11" spans="1:13" x14ac:dyDescent="0.2">
      <c r="C11" s="330" t="s">
        <v>118</v>
      </c>
      <c r="D11" s="182">
        <f>D7-D10</f>
        <v>2601532</v>
      </c>
      <c r="E11" s="182"/>
      <c r="F11" s="491">
        <f>F7-F10</f>
        <v>-15426</v>
      </c>
      <c r="G11" s="571">
        <f>G7-G10</f>
        <v>19202</v>
      </c>
      <c r="H11" s="491">
        <f t="shared" si="0"/>
        <v>2605308</v>
      </c>
      <c r="I11" s="491">
        <v>2779249</v>
      </c>
      <c r="J11" s="491">
        <f t="shared" si="1"/>
        <v>177717</v>
      </c>
      <c r="K11" s="866">
        <f t="shared" si="2"/>
        <v>6.8312440515819139E-2</v>
      </c>
      <c r="L11" s="491">
        <f t="shared" si="3"/>
        <v>173941</v>
      </c>
      <c r="M11" s="866">
        <f t="shared" si="4"/>
        <v>6.6764083171740152E-2</v>
      </c>
    </row>
    <row r="12" spans="1:13" s="6" customFormat="1" x14ac:dyDescent="0.2">
      <c r="A12" s="459"/>
      <c r="B12" s="459"/>
      <c r="C12" s="473" t="s">
        <v>909</v>
      </c>
      <c r="D12" s="474">
        <f>D15+D19+D22</f>
        <v>1669844</v>
      </c>
      <c r="E12" s="474"/>
      <c r="F12" s="474">
        <f>F15+F19+F22</f>
        <v>-11529</v>
      </c>
      <c r="G12" s="572">
        <f>G15+G19+G22</f>
        <v>4551</v>
      </c>
      <c r="H12" s="474">
        <f t="shared" si="0"/>
        <v>1662866</v>
      </c>
      <c r="I12" s="474">
        <v>1780245</v>
      </c>
      <c r="J12" s="474">
        <f t="shared" si="1"/>
        <v>110401</v>
      </c>
      <c r="K12" s="867">
        <f t="shared" si="2"/>
        <v>6.6114559204332859E-2</v>
      </c>
      <c r="L12" s="474">
        <f t="shared" si="3"/>
        <v>117379</v>
      </c>
      <c r="M12" s="867">
        <f t="shared" si="4"/>
        <v>7.0588369718305621E-2</v>
      </c>
    </row>
    <row r="13" spans="1:13" x14ac:dyDescent="0.2">
      <c r="C13" s="330"/>
      <c r="D13" s="182"/>
      <c r="E13" s="182"/>
      <c r="F13" s="491">
        <v>0</v>
      </c>
      <c r="G13" s="571"/>
      <c r="H13" s="491">
        <f t="shared" si="0"/>
        <v>0</v>
      </c>
      <c r="I13" s="491">
        <v>0</v>
      </c>
      <c r="J13" s="491">
        <f t="shared" si="1"/>
        <v>0</v>
      </c>
      <c r="K13" s="866"/>
      <c r="L13" s="491">
        <f t="shared" si="3"/>
        <v>0</v>
      </c>
      <c r="M13" s="866"/>
    </row>
    <row r="14" spans="1:13" x14ac:dyDescent="0.2">
      <c r="A14" s="459" t="s">
        <v>862</v>
      </c>
      <c r="B14" s="459" t="s">
        <v>861</v>
      </c>
      <c r="C14" s="331" t="s">
        <v>48</v>
      </c>
      <c r="D14" s="202">
        <f>1542539+34037</f>
        <v>1576576</v>
      </c>
      <c r="E14" s="202"/>
      <c r="F14" s="493">
        <v>-20376</v>
      </c>
      <c r="G14" s="601">
        <v>19202</v>
      </c>
      <c r="H14" s="493">
        <f t="shared" si="0"/>
        <v>1575402</v>
      </c>
      <c r="I14" s="493">
        <v>1696732</v>
      </c>
      <c r="J14" s="493">
        <f t="shared" si="1"/>
        <v>120156</v>
      </c>
      <c r="K14" s="868">
        <f t="shared" si="2"/>
        <v>7.6213262157993011E-2</v>
      </c>
      <c r="L14" s="493">
        <f t="shared" si="3"/>
        <v>121330</v>
      </c>
      <c r="M14" s="868">
        <f t="shared" si="4"/>
        <v>7.7015263405784684E-2</v>
      </c>
    </row>
    <row r="15" spans="1:13" x14ac:dyDescent="0.2">
      <c r="A15" s="459"/>
      <c r="C15" s="332" t="s">
        <v>119</v>
      </c>
      <c r="D15" s="489">
        <f>887608+25152</f>
        <v>912760</v>
      </c>
      <c r="E15" s="145"/>
      <c r="F15" s="489">
        <v>-11529</v>
      </c>
      <c r="G15" s="781">
        <v>14351</v>
      </c>
      <c r="H15" s="489">
        <f t="shared" si="0"/>
        <v>915582</v>
      </c>
      <c r="I15" s="489">
        <v>979882</v>
      </c>
      <c r="J15" s="489">
        <f t="shared" si="1"/>
        <v>67122</v>
      </c>
      <c r="K15" s="869">
        <f t="shared" si="2"/>
        <v>7.3537403041325208E-2</v>
      </c>
      <c r="L15" s="489">
        <f t="shared" si="3"/>
        <v>64300</v>
      </c>
      <c r="M15" s="869">
        <f t="shared" si="4"/>
        <v>7.0228554078171038E-2</v>
      </c>
    </row>
    <row r="16" spans="1:13" x14ac:dyDescent="0.2">
      <c r="A16" s="459"/>
      <c r="C16" s="333" t="s">
        <v>519</v>
      </c>
      <c r="D16" s="145">
        <v>90000</v>
      </c>
      <c r="E16" s="145"/>
      <c r="F16" s="489">
        <v>0</v>
      </c>
      <c r="H16" s="489">
        <f t="shared" si="0"/>
        <v>90000</v>
      </c>
      <c r="I16" s="489">
        <v>90000</v>
      </c>
      <c r="J16" s="489">
        <f t="shared" si="1"/>
        <v>0</v>
      </c>
      <c r="K16" s="869">
        <f t="shared" si="2"/>
        <v>0</v>
      </c>
      <c r="L16" s="489">
        <f t="shared" si="3"/>
        <v>0</v>
      </c>
      <c r="M16" s="869">
        <f t="shared" si="4"/>
        <v>0</v>
      </c>
    </row>
    <row r="17" spans="1:13" x14ac:dyDescent="0.2">
      <c r="A17" s="459"/>
      <c r="C17" s="334"/>
      <c r="D17" s="182"/>
      <c r="E17" s="182"/>
      <c r="F17" s="491">
        <v>0</v>
      </c>
      <c r="G17" s="571"/>
      <c r="H17" s="491">
        <f t="shared" si="0"/>
        <v>0</v>
      </c>
      <c r="I17" s="491">
        <v>0</v>
      </c>
      <c r="J17" s="491">
        <f t="shared" si="1"/>
        <v>0</v>
      </c>
      <c r="K17" s="866"/>
      <c r="L17" s="491">
        <f t="shared" si="3"/>
        <v>0</v>
      </c>
      <c r="M17" s="866"/>
    </row>
    <row r="18" spans="1:13" x14ac:dyDescent="0.2">
      <c r="A18" s="459" t="s">
        <v>884</v>
      </c>
      <c r="B18" s="459" t="s">
        <v>861</v>
      </c>
      <c r="C18" s="331" t="s">
        <v>422</v>
      </c>
      <c r="D18" s="202">
        <v>1014736</v>
      </c>
      <c r="E18" s="202"/>
      <c r="F18" s="493"/>
      <c r="G18" s="601"/>
      <c r="H18" s="493">
        <f t="shared" si="0"/>
        <v>1014736</v>
      </c>
      <c r="I18" s="493">
        <v>1072297</v>
      </c>
      <c r="J18" s="493">
        <f t="shared" si="1"/>
        <v>57561</v>
      </c>
      <c r="K18" s="868">
        <f t="shared" si="2"/>
        <v>5.672509894199082E-2</v>
      </c>
      <c r="L18" s="493">
        <f t="shared" si="3"/>
        <v>57561</v>
      </c>
      <c r="M18" s="868">
        <f t="shared" si="4"/>
        <v>5.672509894199082E-2</v>
      </c>
    </row>
    <row r="19" spans="1:13" x14ac:dyDescent="0.2">
      <c r="A19" s="459"/>
      <c r="C19" s="332" t="s">
        <v>119</v>
      </c>
      <c r="D19" s="489">
        <v>747084</v>
      </c>
      <c r="E19" s="145"/>
      <c r="F19" s="489"/>
      <c r="G19" s="567"/>
      <c r="H19" s="489">
        <f t="shared" si="0"/>
        <v>747084</v>
      </c>
      <c r="I19" s="489">
        <v>790363</v>
      </c>
      <c r="J19" s="489">
        <f t="shared" si="1"/>
        <v>43279</v>
      </c>
      <c r="K19" s="869">
        <f t="shared" si="2"/>
        <v>5.793056737930407E-2</v>
      </c>
      <c r="L19" s="489">
        <f t="shared" si="3"/>
        <v>43279</v>
      </c>
      <c r="M19" s="869">
        <f t="shared" si="4"/>
        <v>5.793056737930407E-2</v>
      </c>
    </row>
    <row r="20" spans="1:13" x14ac:dyDescent="0.2">
      <c r="A20" s="459"/>
      <c r="C20" s="65"/>
      <c r="D20" s="179"/>
      <c r="E20" s="179"/>
      <c r="F20" s="179">
        <v>0</v>
      </c>
      <c r="G20" s="577"/>
      <c r="H20" s="179">
        <f t="shared" si="0"/>
        <v>0</v>
      </c>
      <c r="I20" s="179">
        <v>0</v>
      </c>
      <c r="J20" s="179">
        <f t="shared" si="1"/>
        <v>0</v>
      </c>
      <c r="K20" s="542"/>
      <c r="L20" s="179">
        <f t="shared" si="3"/>
        <v>0</v>
      </c>
      <c r="M20" s="542"/>
    </row>
    <row r="21" spans="1:13" x14ac:dyDescent="0.2">
      <c r="A21" s="459" t="s">
        <v>862</v>
      </c>
      <c r="B21" s="459" t="s">
        <v>861</v>
      </c>
      <c r="C21" s="335" t="s">
        <v>423</v>
      </c>
      <c r="D21" s="172">
        <v>38670</v>
      </c>
      <c r="E21" s="172"/>
      <c r="F21" s="172">
        <v>0</v>
      </c>
      <c r="G21" s="574"/>
      <c r="H21" s="172">
        <f t="shared" si="0"/>
        <v>38670</v>
      </c>
      <c r="I21" s="172">
        <v>38670</v>
      </c>
      <c r="J21" s="172">
        <f t="shared" si="1"/>
        <v>0</v>
      </c>
      <c r="K21" s="524">
        <f t="shared" si="2"/>
        <v>0</v>
      </c>
      <c r="L21" s="172">
        <f t="shared" si="3"/>
        <v>0</v>
      </c>
      <c r="M21" s="524">
        <f t="shared" si="4"/>
        <v>0</v>
      </c>
    </row>
    <row r="22" spans="1:13" x14ac:dyDescent="0.2">
      <c r="C22" s="332" t="s">
        <v>119</v>
      </c>
      <c r="D22" s="489">
        <v>10000</v>
      </c>
      <c r="E22" s="145"/>
      <c r="F22" s="489">
        <v>0</v>
      </c>
      <c r="G22" s="781">
        <v>-9800</v>
      </c>
      <c r="H22" s="489">
        <f t="shared" si="0"/>
        <v>200</v>
      </c>
      <c r="I22" s="489">
        <v>10000</v>
      </c>
      <c r="J22" s="489">
        <f t="shared" si="1"/>
        <v>0</v>
      </c>
      <c r="K22" s="869">
        <f t="shared" si="2"/>
        <v>0</v>
      </c>
      <c r="L22" s="489">
        <f t="shared" si="3"/>
        <v>9800</v>
      </c>
      <c r="M22" s="869">
        <f t="shared" si="4"/>
        <v>49</v>
      </c>
    </row>
    <row r="23" spans="1:13" x14ac:dyDescent="0.2">
      <c r="C23" s="336"/>
      <c r="D23" s="151"/>
      <c r="E23" s="151"/>
      <c r="F23" s="151">
        <v>0</v>
      </c>
      <c r="G23" s="151"/>
      <c r="H23" s="151">
        <f t="shared" si="0"/>
        <v>0</v>
      </c>
      <c r="I23" s="151">
        <v>0</v>
      </c>
      <c r="J23" s="151">
        <f t="shared" si="1"/>
        <v>0</v>
      </c>
      <c r="K23" s="870"/>
      <c r="L23" s="151">
        <f t="shared" si="3"/>
        <v>0</v>
      </c>
      <c r="M23" s="870"/>
    </row>
    <row r="24" spans="1:13" x14ac:dyDescent="0.2">
      <c r="C24" s="337"/>
      <c r="D24" s="165"/>
      <c r="E24" s="165"/>
      <c r="F24" s="165">
        <v>0</v>
      </c>
      <c r="G24" s="165"/>
      <c r="H24" s="165">
        <f t="shared" si="0"/>
        <v>0</v>
      </c>
      <c r="I24" s="165">
        <v>0</v>
      </c>
      <c r="J24" s="165">
        <f t="shared" si="1"/>
        <v>0</v>
      </c>
      <c r="K24" s="871"/>
      <c r="L24" s="165">
        <f t="shared" si="3"/>
        <v>0</v>
      </c>
      <c r="M24" s="871"/>
    </row>
    <row r="25" spans="1:13" s="6" customFormat="1" ht="15.75" x14ac:dyDescent="0.2">
      <c r="A25" s="459"/>
      <c r="B25" s="459"/>
      <c r="C25" s="434" t="s">
        <v>194</v>
      </c>
      <c r="D25" s="181"/>
      <c r="E25" s="181"/>
      <c r="F25" s="181">
        <v>0</v>
      </c>
      <c r="G25" s="181"/>
      <c r="H25" s="181">
        <f t="shared" si="0"/>
        <v>0</v>
      </c>
      <c r="I25" s="181">
        <v>0</v>
      </c>
      <c r="J25" s="181">
        <f t="shared" si="1"/>
        <v>0</v>
      </c>
      <c r="K25" s="872"/>
      <c r="L25" s="181">
        <f t="shared" si="3"/>
        <v>0</v>
      </c>
      <c r="M25" s="872"/>
    </row>
    <row r="26" spans="1:13" s="6" customFormat="1" x14ac:dyDescent="0.2">
      <c r="A26" s="459"/>
      <c r="B26" s="459"/>
      <c r="C26" s="65"/>
      <c r="D26" s="179"/>
      <c r="E26" s="179"/>
      <c r="F26" s="179">
        <v>0</v>
      </c>
      <c r="G26" s="179"/>
      <c r="H26" s="179">
        <f t="shared" si="0"/>
        <v>0</v>
      </c>
      <c r="I26" s="179">
        <v>0</v>
      </c>
      <c r="J26" s="179">
        <f t="shared" si="1"/>
        <v>0</v>
      </c>
      <c r="K26" s="542"/>
      <c r="L26" s="179">
        <f t="shared" si="3"/>
        <v>0</v>
      </c>
      <c r="M26" s="542"/>
    </row>
    <row r="27" spans="1:13" s="6" customFormat="1" x14ac:dyDescent="0.2">
      <c r="A27" s="459"/>
      <c r="B27" s="459"/>
      <c r="C27" s="328" t="s">
        <v>193</v>
      </c>
      <c r="D27" s="170">
        <f>+D34+D37+D40+D42+D47+D50+D53+D56+D59+D62+D64+D67</f>
        <v>6992253</v>
      </c>
      <c r="E27" s="170"/>
      <c r="F27" s="488">
        <f>+F34+F37+F40+F42+F47+F50+F53+F56+F59+F62+F64+F67</f>
        <v>266199</v>
      </c>
      <c r="G27" s="570">
        <f>+G34+G37+G40+G42+G47+G50+G53+G56+G59+G62+G64+G67+G70</f>
        <v>352138</v>
      </c>
      <c r="H27" s="488">
        <f t="shared" si="0"/>
        <v>7610590</v>
      </c>
      <c r="I27" s="488">
        <v>7219817</v>
      </c>
      <c r="J27" s="488">
        <f t="shared" si="1"/>
        <v>227564</v>
      </c>
      <c r="K27" s="865">
        <f t="shared" si="2"/>
        <v>3.2545161051809768E-2</v>
      </c>
      <c r="L27" s="488">
        <f t="shared" si="3"/>
        <v>-390773</v>
      </c>
      <c r="M27" s="865">
        <f t="shared" si="4"/>
        <v>-5.1345953467470985E-2</v>
      </c>
    </row>
    <row r="28" spans="1:13" s="6" customFormat="1" x14ac:dyDescent="0.2">
      <c r="A28" s="459"/>
      <c r="B28" s="459"/>
      <c r="C28" s="101" t="s">
        <v>479</v>
      </c>
      <c r="D28" s="182">
        <v>920000</v>
      </c>
      <c r="E28" s="182"/>
      <c r="F28" s="491"/>
      <c r="G28" s="571"/>
      <c r="H28" s="491">
        <f t="shared" si="0"/>
        <v>920000</v>
      </c>
      <c r="I28" s="491">
        <v>34700</v>
      </c>
      <c r="J28" s="491">
        <f t="shared" si="1"/>
        <v>-885300</v>
      </c>
      <c r="K28" s="866">
        <f t="shared" si="2"/>
        <v>-0.96228260869565219</v>
      </c>
      <c r="L28" s="491">
        <f t="shared" si="3"/>
        <v>-885300</v>
      </c>
      <c r="M28" s="866">
        <f t="shared" si="4"/>
        <v>-0.96228260869565219</v>
      </c>
    </row>
    <row r="29" spans="1:13" s="6" customFormat="1" x14ac:dyDescent="0.2">
      <c r="A29" s="459"/>
      <c r="B29" s="459"/>
      <c r="C29" s="329" t="s">
        <v>116</v>
      </c>
      <c r="D29" s="183">
        <f>D30+D31</f>
        <v>6992253</v>
      </c>
      <c r="E29" s="183"/>
      <c r="F29" s="183">
        <f>F30+F31</f>
        <v>266199</v>
      </c>
      <c r="G29" s="570">
        <f>G30+G31</f>
        <v>352138</v>
      </c>
      <c r="H29" s="183">
        <f t="shared" si="0"/>
        <v>7610590</v>
      </c>
      <c r="I29" s="183">
        <v>7219817</v>
      </c>
      <c r="J29" s="183">
        <f t="shared" si="1"/>
        <v>227564</v>
      </c>
      <c r="K29" s="528">
        <f t="shared" si="2"/>
        <v>3.2545161051809768E-2</v>
      </c>
      <c r="L29" s="183">
        <f t="shared" si="3"/>
        <v>-390773</v>
      </c>
      <c r="M29" s="528">
        <f t="shared" si="4"/>
        <v>-5.1345953467470985E-2</v>
      </c>
    </row>
    <row r="30" spans="1:13" s="6" customFormat="1" x14ac:dyDescent="0.2">
      <c r="A30" s="459"/>
      <c r="B30" s="459"/>
      <c r="C30" s="101" t="s">
        <v>117</v>
      </c>
      <c r="D30" s="182">
        <f>'2.2 OMATULUD'!B10</f>
        <v>75000</v>
      </c>
      <c r="E30" s="182"/>
      <c r="F30" s="491"/>
      <c r="G30" s="571">
        <v>-30000</v>
      </c>
      <c r="H30" s="491">
        <f t="shared" si="0"/>
        <v>45000</v>
      </c>
      <c r="I30" s="491">
        <v>75000</v>
      </c>
      <c r="J30" s="491">
        <f t="shared" si="1"/>
        <v>0</v>
      </c>
      <c r="K30" s="866">
        <f t="shared" si="2"/>
        <v>0</v>
      </c>
      <c r="L30" s="491">
        <f t="shared" si="3"/>
        <v>30000</v>
      </c>
      <c r="M30" s="866">
        <f t="shared" si="4"/>
        <v>0.66666666666666663</v>
      </c>
    </row>
    <row r="31" spans="1:13" s="6" customFormat="1" x14ac:dyDescent="0.2">
      <c r="A31" s="459"/>
      <c r="B31" s="459"/>
      <c r="C31" s="330" t="s">
        <v>118</v>
      </c>
      <c r="D31" s="182">
        <f>D27-D30</f>
        <v>6917253</v>
      </c>
      <c r="E31" s="182"/>
      <c r="F31" s="491">
        <f>F27-F30</f>
        <v>266199</v>
      </c>
      <c r="G31" s="571">
        <f>G27-G30</f>
        <v>382138</v>
      </c>
      <c r="H31" s="491">
        <f t="shared" si="0"/>
        <v>7565590</v>
      </c>
      <c r="I31" s="491">
        <v>7144817</v>
      </c>
      <c r="J31" s="491">
        <f t="shared" si="1"/>
        <v>227564</v>
      </c>
      <c r="K31" s="866">
        <f t="shared" si="2"/>
        <v>3.289803047539247E-2</v>
      </c>
      <c r="L31" s="491">
        <f t="shared" si="3"/>
        <v>-420773</v>
      </c>
      <c r="M31" s="866">
        <f t="shared" si="4"/>
        <v>-5.561668025890909E-2</v>
      </c>
    </row>
    <row r="32" spans="1:13" s="6" customFormat="1" x14ac:dyDescent="0.2">
      <c r="A32" s="459"/>
      <c r="B32" s="459"/>
      <c r="C32" s="473" t="s">
        <v>909</v>
      </c>
      <c r="D32" s="474">
        <f>D35+D38+D48+D51+D54+D57+D60+D65+D68</f>
        <v>3729786</v>
      </c>
      <c r="E32" s="474"/>
      <c r="F32" s="474">
        <f>F35+F38+F48+F51+F54+F57+F60+F65+F68</f>
        <v>93796</v>
      </c>
      <c r="G32" s="572">
        <f>G35+G38+G48+G51+G54+G57+G60+G65+G68</f>
        <v>114292</v>
      </c>
      <c r="H32" s="474">
        <f t="shared" si="0"/>
        <v>3937874</v>
      </c>
      <c r="I32" s="474">
        <v>3735938</v>
      </c>
      <c r="J32" s="474">
        <f t="shared" si="1"/>
        <v>6152</v>
      </c>
      <c r="K32" s="867">
        <f t="shared" si="2"/>
        <v>1.6494243905682525E-3</v>
      </c>
      <c r="L32" s="474">
        <f t="shared" si="3"/>
        <v>-201936</v>
      </c>
      <c r="M32" s="867">
        <f t="shared" si="4"/>
        <v>-5.1280462503371108E-2</v>
      </c>
    </row>
    <row r="33" spans="1:13" s="6" customFormat="1" x14ac:dyDescent="0.2">
      <c r="A33" s="459"/>
      <c r="B33" s="459"/>
      <c r="C33" s="455"/>
      <c r="D33" s="215"/>
      <c r="E33" s="215"/>
      <c r="F33" s="482">
        <v>0</v>
      </c>
      <c r="G33" s="609"/>
      <c r="H33" s="482">
        <f t="shared" si="0"/>
        <v>0</v>
      </c>
      <c r="I33" s="482">
        <v>0</v>
      </c>
      <c r="J33" s="482">
        <f t="shared" si="1"/>
        <v>0</v>
      </c>
      <c r="K33" s="873"/>
      <c r="L33" s="482">
        <f t="shared" si="3"/>
        <v>0</v>
      </c>
      <c r="M33" s="873"/>
    </row>
    <row r="34" spans="1:13" s="6" customFormat="1" x14ac:dyDescent="0.2">
      <c r="A34" s="459" t="s">
        <v>884</v>
      </c>
      <c r="B34" s="459" t="s">
        <v>194</v>
      </c>
      <c r="C34" s="104" t="s">
        <v>793</v>
      </c>
      <c r="D34" s="172">
        <v>716919</v>
      </c>
      <c r="E34" s="172"/>
      <c r="F34" s="172">
        <v>0</v>
      </c>
      <c r="G34" s="577">
        <f>10437+125237</f>
        <v>135674</v>
      </c>
      <c r="H34" s="172">
        <f t="shared" si="0"/>
        <v>852593</v>
      </c>
      <c r="I34" s="172">
        <v>921449</v>
      </c>
      <c r="J34" s="172">
        <f t="shared" si="1"/>
        <v>204530</v>
      </c>
      <c r="K34" s="524">
        <f t="shared" si="2"/>
        <v>0.28529024896815403</v>
      </c>
      <c r="L34" s="172">
        <f t="shared" si="3"/>
        <v>68856</v>
      </c>
      <c r="M34" s="524">
        <f t="shared" si="4"/>
        <v>8.0760691209052854E-2</v>
      </c>
    </row>
    <row r="35" spans="1:13" s="6" customFormat="1" x14ac:dyDescent="0.2">
      <c r="A35" s="459"/>
      <c r="B35" s="459"/>
      <c r="C35" s="308" t="s">
        <v>119</v>
      </c>
      <c r="D35" s="489">
        <v>520630</v>
      </c>
      <c r="E35" s="145"/>
      <c r="F35" s="489">
        <v>0</v>
      </c>
      <c r="G35" s="781">
        <f>7800+93600</f>
        <v>101400</v>
      </c>
      <c r="H35" s="489">
        <f t="shared" si="0"/>
        <v>622030</v>
      </c>
      <c r="I35" s="489">
        <v>673493</v>
      </c>
      <c r="J35" s="489">
        <f t="shared" si="1"/>
        <v>152863</v>
      </c>
      <c r="K35" s="869">
        <f t="shared" si="2"/>
        <v>0.29361158596316</v>
      </c>
      <c r="L35" s="489">
        <f t="shared" si="3"/>
        <v>51463</v>
      </c>
      <c r="M35" s="869">
        <f t="shared" si="4"/>
        <v>8.2733951738662118E-2</v>
      </c>
    </row>
    <row r="36" spans="1:13" s="454" customFormat="1" x14ac:dyDescent="0.2">
      <c r="A36" s="724"/>
      <c r="B36" s="724"/>
      <c r="C36" s="65"/>
      <c r="D36" s="179"/>
      <c r="E36" s="179"/>
      <c r="F36" s="179">
        <v>0</v>
      </c>
      <c r="G36" s="567"/>
      <c r="H36" s="179">
        <f t="shared" si="0"/>
        <v>0</v>
      </c>
      <c r="I36" s="179">
        <v>0</v>
      </c>
      <c r="J36" s="179">
        <f t="shared" si="1"/>
        <v>0</v>
      </c>
      <c r="K36" s="542"/>
      <c r="L36" s="179">
        <f t="shared" si="3"/>
        <v>0</v>
      </c>
      <c r="M36" s="542"/>
    </row>
    <row r="37" spans="1:13" s="6" customFormat="1" x14ac:dyDescent="0.2">
      <c r="A37" s="459" t="s">
        <v>862</v>
      </c>
      <c r="B37" s="459" t="s">
        <v>194</v>
      </c>
      <c r="C37" s="338" t="s">
        <v>794</v>
      </c>
      <c r="D37" s="179">
        <v>3812374</v>
      </c>
      <c r="E37" s="179"/>
      <c r="F37" s="179">
        <v>53279</v>
      </c>
      <c r="G37" s="759">
        <f>51884+50000+13180+20070</f>
        <v>135134</v>
      </c>
      <c r="H37" s="179">
        <f t="shared" si="0"/>
        <v>4000787</v>
      </c>
      <c r="I37" s="179">
        <v>4451954</v>
      </c>
      <c r="J37" s="179">
        <f t="shared" si="1"/>
        <v>639580</v>
      </c>
      <c r="K37" s="542">
        <f t="shared" si="2"/>
        <v>0.16776423299497897</v>
      </c>
      <c r="L37" s="179">
        <f t="shared" si="3"/>
        <v>451167</v>
      </c>
      <c r="M37" s="542">
        <f t="shared" si="4"/>
        <v>0.1127695625885607</v>
      </c>
    </row>
    <row r="38" spans="1:13" s="454" customFormat="1" ht="12" x14ac:dyDescent="0.2">
      <c r="A38" s="724"/>
      <c r="B38" s="724"/>
      <c r="C38" s="305" t="s">
        <v>119</v>
      </c>
      <c r="D38" s="234">
        <v>2364433</v>
      </c>
      <c r="E38" s="234"/>
      <c r="F38" s="234">
        <v>19096</v>
      </c>
      <c r="G38" s="781">
        <f>-12753+9645+15000</f>
        <v>11892</v>
      </c>
      <c r="H38" s="234">
        <f t="shared" si="0"/>
        <v>2395421</v>
      </c>
      <c r="I38" s="234">
        <v>2560577</v>
      </c>
      <c r="J38" s="234">
        <f t="shared" si="1"/>
        <v>196144</v>
      </c>
      <c r="K38" s="874">
        <f t="shared" si="2"/>
        <v>8.295604062369287E-2</v>
      </c>
      <c r="L38" s="234">
        <f t="shared" si="3"/>
        <v>165156</v>
      </c>
      <c r="M38" s="874">
        <f t="shared" si="4"/>
        <v>6.8946544260904449E-2</v>
      </c>
    </row>
    <row r="39" spans="1:13" s="6" customFormat="1" x14ac:dyDescent="0.2">
      <c r="A39" s="459"/>
      <c r="B39" s="459"/>
      <c r="C39" s="65"/>
      <c r="D39" s="179"/>
      <c r="E39" s="179"/>
      <c r="F39" s="179">
        <v>0</v>
      </c>
      <c r="G39" s="577"/>
      <c r="H39" s="179">
        <f t="shared" si="0"/>
        <v>0</v>
      </c>
      <c r="I39" s="179">
        <v>0</v>
      </c>
      <c r="J39" s="179">
        <f t="shared" si="1"/>
        <v>0</v>
      </c>
      <c r="K39" s="542"/>
      <c r="L39" s="179">
        <f t="shared" si="3"/>
        <v>0</v>
      </c>
      <c r="M39" s="542"/>
    </row>
    <row r="40" spans="1:13" s="6" customFormat="1" x14ac:dyDescent="0.2">
      <c r="A40" s="459" t="s">
        <v>862</v>
      </c>
      <c r="B40" s="459" t="s">
        <v>194</v>
      </c>
      <c r="C40" s="104" t="s">
        <v>426</v>
      </c>
      <c r="D40" s="172">
        <f>299300-3200</f>
        <v>296100</v>
      </c>
      <c r="E40" s="172"/>
      <c r="F40" s="172">
        <v>0</v>
      </c>
      <c r="G40" s="574"/>
      <c r="H40" s="172">
        <f t="shared" si="0"/>
        <v>296100</v>
      </c>
      <c r="I40" s="172">
        <v>265100</v>
      </c>
      <c r="J40" s="172">
        <f t="shared" si="1"/>
        <v>-31000</v>
      </c>
      <c r="K40" s="524">
        <f t="shared" si="2"/>
        <v>-0.10469436001350894</v>
      </c>
      <c r="L40" s="172">
        <f t="shared" si="3"/>
        <v>-31000</v>
      </c>
      <c r="M40" s="524">
        <f t="shared" si="4"/>
        <v>-0.10469436001350894</v>
      </c>
    </row>
    <row r="41" spans="1:13" s="6" customFormat="1" x14ac:dyDescent="0.2">
      <c r="A41" s="459"/>
      <c r="B41" s="459"/>
      <c r="C41" s="65"/>
      <c r="D41" s="179"/>
      <c r="E41" s="179"/>
      <c r="F41" s="179">
        <v>0</v>
      </c>
      <c r="G41" s="577"/>
      <c r="H41" s="179">
        <f t="shared" si="0"/>
        <v>0</v>
      </c>
      <c r="I41" s="179">
        <v>0</v>
      </c>
      <c r="J41" s="179">
        <f t="shared" si="1"/>
        <v>0</v>
      </c>
      <c r="K41" s="542"/>
      <c r="L41" s="179">
        <f t="shared" si="3"/>
        <v>0</v>
      </c>
      <c r="M41" s="542"/>
    </row>
    <row r="42" spans="1:13" s="6" customFormat="1" ht="25.5" x14ac:dyDescent="0.2">
      <c r="A42" s="459" t="s">
        <v>862</v>
      </c>
      <c r="B42" s="459" t="s">
        <v>194</v>
      </c>
      <c r="C42" s="368" t="s">
        <v>427</v>
      </c>
      <c r="D42" s="179">
        <v>324700</v>
      </c>
      <c r="E42" s="179"/>
      <c r="F42" s="179">
        <v>240000</v>
      </c>
      <c r="G42" s="577"/>
      <c r="H42" s="179">
        <f t="shared" si="0"/>
        <v>564700</v>
      </c>
      <c r="I42" s="179">
        <v>329700</v>
      </c>
      <c r="J42" s="179">
        <f t="shared" si="1"/>
        <v>5000</v>
      </c>
      <c r="K42" s="542">
        <f t="shared" si="2"/>
        <v>1.5398829688943641E-2</v>
      </c>
      <c r="L42" s="179">
        <f t="shared" si="3"/>
        <v>-235000</v>
      </c>
      <c r="M42" s="542">
        <f t="shared" si="4"/>
        <v>-0.41615016823091905</v>
      </c>
    </row>
    <row r="43" spans="1:13" s="6" customFormat="1" x14ac:dyDescent="0.2">
      <c r="A43" s="459"/>
      <c r="B43" s="459"/>
      <c r="C43" s="456" t="s">
        <v>795</v>
      </c>
      <c r="D43" s="179"/>
      <c r="E43" s="179"/>
      <c r="F43" s="179">
        <v>0</v>
      </c>
      <c r="G43" s="577"/>
      <c r="H43" s="179">
        <f t="shared" si="0"/>
        <v>0</v>
      </c>
      <c r="I43" s="179">
        <v>0</v>
      </c>
      <c r="J43" s="179">
        <f t="shared" si="1"/>
        <v>0</v>
      </c>
      <c r="K43" s="542"/>
      <c r="L43" s="179">
        <f t="shared" si="3"/>
        <v>0</v>
      </c>
      <c r="M43" s="542"/>
    </row>
    <row r="44" spans="1:13" s="6" customFormat="1" ht="45" x14ac:dyDescent="0.2">
      <c r="A44" s="459"/>
      <c r="B44" s="459"/>
      <c r="C44" s="340" t="s">
        <v>796</v>
      </c>
      <c r="D44" s="231">
        <v>10000</v>
      </c>
      <c r="E44" s="231"/>
      <c r="F44" s="231">
        <v>0</v>
      </c>
      <c r="G44" s="578"/>
      <c r="H44" s="231">
        <f t="shared" si="0"/>
        <v>10000</v>
      </c>
      <c r="I44" s="231">
        <v>10000</v>
      </c>
      <c r="J44" s="231">
        <f t="shared" si="1"/>
        <v>0</v>
      </c>
      <c r="K44" s="875">
        <f t="shared" si="2"/>
        <v>0</v>
      </c>
      <c r="L44" s="231">
        <f t="shared" si="3"/>
        <v>0</v>
      </c>
      <c r="M44" s="875">
        <f t="shared" si="4"/>
        <v>0</v>
      </c>
    </row>
    <row r="45" spans="1:13" s="6" customFormat="1" ht="22.5" x14ac:dyDescent="0.2">
      <c r="A45" s="459"/>
      <c r="B45" s="459"/>
      <c r="C45" s="340" t="s">
        <v>520</v>
      </c>
      <c r="D45" s="231">
        <v>15000</v>
      </c>
      <c r="E45" s="231"/>
      <c r="F45" s="231">
        <v>0</v>
      </c>
      <c r="G45" s="578"/>
      <c r="H45" s="231">
        <f t="shared" si="0"/>
        <v>15000</v>
      </c>
      <c r="I45" s="231">
        <v>20000</v>
      </c>
      <c r="J45" s="231">
        <f t="shared" si="1"/>
        <v>5000</v>
      </c>
      <c r="K45" s="875">
        <f t="shared" si="2"/>
        <v>0.33333333333333331</v>
      </c>
      <c r="L45" s="231">
        <f t="shared" si="3"/>
        <v>5000</v>
      </c>
      <c r="M45" s="875">
        <f t="shared" si="4"/>
        <v>0.33333333333333331</v>
      </c>
    </row>
    <row r="46" spans="1:13" s="6" customFormat="1" x14ac:dyDescent="0.2">
      <c r="A46" s="459"/>
      <c r="B46" s="459"/>
      <c r="C46" s="65"/>
      <c r="D46" s="179"/>
      <c r="E46" s="179"/>
      <c r="F46" s="179">
        <v>0</v>
      </c>
      <c r="G46" s="577"/>
      <c r="H46" s="179">
        <f t="shared" si="0"/>
        <v>0</v>
      </c>
      <c r="I46" s="179">
        <v>0</v>
      </c>
      <c r="J46" s="179">
        <f t="shared" si="1"/>
        <v>0</v>
      </c>
      <c r="K46" s="542"/>
      <c r="L46" s="179">
        <f t="shared" si="3"/>
        <v>0</v>
      </c>
      <c r="M46" s="542"/>
    </row>
    <row r="47" spans="1:13" s="6" customFormat="1" ht="25.5" x14ac:dyDescent="0.2">
      <c r="A47" s="459" t="s">
        <v>862</v>
      </c>
      <c r="B47" s="459" t="s">
        <v>194</v>
      </c>
      <c r="C47" s="115" t="s">
        <v>603</v>
      </c>
      <c r="D47" s="179">
        <v>47000</v>
      </c>
      <c r="E47" s="179"/>
      <c r="F47" s="179">
        <v>-20000</v>
      </c>
      <c r="G47" s="577"/>
      <c r="H47" s="179">
        <f t="shared" si="0"/>
        <v>27000</v>
      </c>
      <c r="I47" s="179">
        <v>15000</v>
      </c>
      <c r="J47" s="179">
        <f t="shared" si="1"/>
        <v>-32000</v>
      </c>
      <c r="K47" s="542">
        <f t="shared" si="2"/>
        <v>-0.68085106382978722</v>
      </c>
      <c r="L47" s="179">
        <f t="shared" si="3"/>
        <v>-12000</v>
      </c>
      <c r="M47" s="542">
        <f t="shared" si="4"/>
        <v>-0.44444444444444442</v>
      </c>
    </row>
    <row r="48" spans="1:13" s="6" customFormat="1" x14ac:dyDescent="0.2">
      <c r="A48" s="459"/>
      <c r="B48" s="459"/>
      <c r="C48" s="308" t="s">
        <v>119</v>
      </c>
      <c r="D48" s="231">
        <v>20000</v>
      </c>
      <c r="E48" s="231"/>
      <c r="F48" s="231">
        <v>-8000</v>
      </c>
      <c r="G48" s="578"/>
      <c r="H48" s="231">
        <f t="shared" si="0"/>
        <v>12000</v>
      </c>
      <c r="I48" s="231">
        <v>5000</v>
      </c>
      <c r="J48" s="231">
        <f t="shared" si="1"/>
        <v>-15000</v>
      </c>
      <c r="K48" s="875">
        <f t="shared" si="2"/>
        <v>-0.75</v>
      </c>
      <c r="L48" s="231">
        <f t="shared" si="3"/>
        <v>-7000</v>
      </c>
      <c r="M48" s="875">
        <f t="shared" si="4"/>
        <v>-0.58333333333333337</v>
      </c>
    </row>
    <row r="49" spans="1:13" s="6" customFormat="1" x14ac:dyDescent="0.2">
      <c r="A49" s="459"/>
      <c r="B49" s="459"/>
      <c r="C49" s="65"/>
      <c r="D49" s="179"/>
      <c r="E49" s="179"/>
      <c r="F49" s="179">
        <v>0</v>
      </c>
      <c r="G49" s="577"/>
      <c r="H49" s="179">
        <f t="shared" si="0"/>
        <v>0</v>
      </c>
      <c r="I49" s="179">
        <v>0</v>
      </c>
      <c r="J49" s="179">
        <f t="shared" si="1"/>
        <v>0</v>
      </c>
      <c r="K49" s="542"/>
      <c r="L49" s="179">
        <f t="shared" si="3"/>
        <v>0</v>
      </c>
      <c r="M49" s="542"/>
    </row>
    <row r="50" spans="1:13" s="6" customFormat="1" x14ac:dyDescent="0.2">
      <c r="A50" s="459" t="s">
        <v>862</v>
      </c>
      <c r="B50" s="459" t="s">
        <v>194</v>
      </c>
      <c r="C50" s="307" t="s">
        <v>428</v>
      </c>
      <c r="D50" s="172">
        <v>415000</v>
      </c>
      <c r="E50" s="172"/>
      <c r="F50" s="172">
        <v>-12440</v>
      </c>
      <c r="G50" s="574">
        <v>-110000</v>
      </c>
      <c r="H50" s="172">
        <f t="shared" si="0"/>
        <v>292560</v>
      </c>
      <c r="I50" s="172">
        <v>415000</v>
      </c>
      <c r="J50" s="172">
        <f t="shared" si="1"/>
        <v>0</v>
      </c>
      <c r="K50" s="524">
        <f t="shared" si="2"/>
        <v>0</v>
      </c>
      <c r="L50" s="172">
        <f t="shared" si="3"/>
        <v>122440</v>
      </c>
      <c r="M50" s="524">
        <f t="shared" si="4"/>
        <v>0.41851244189226144</v>
      </c>
    </row>
    <row r="51" spans="1:13" s="6" customFormat="1" x14ac:dyDescent="0.2">
      <c r="A51" s="459"/>
      <c r="B51" s="459"/>
      <c r="C51" s="308" t="s">
        <v>119</v>
      </c>
      <c r="D51" s="489">
        <v>18600</v>
      </c>
      <c r="E51" s="145"/>
      <c r="F51" s="489">
        <v>0</v>
      </c>
      <c r="G51" s="567"/>
      <c r="H51" s="489">
        <f t="shared" si="0"/>
        <v>18600</v>
      </c>
      <c r="I51" s="489">
        <v>18600</v>
      </c>
      <c r="J51" s="489">
        <f t="shared" si="1"/>
        <v>0</v>
      </c>
      <c r="K51" s="869">
        <f t="shared" si="2"/>
        <v>0</v>
      </c>
      <c r="L51" s="489">
        <f t="shared" si="3"/>
        <v>0</v>
      </c>
      <c r="M51" s="869">
        <f t="shared" si="4"/>
        <v>0</v>
      </c>
    </row>
    <row r="52" spans="1:13" s="6" customFormat="1" x14ac:dyDescent="0.2">
      <c r="A52" s="459"/>
      <c r="B52" s="459"/>
      <c r="C52" s="65"/>
      <c r="D52" s="145"/>
      <c r="E52" s="145"/>
      <c r="F52" s="489">
        <v>0</v>
      </c>
      <c r="G52" s="567"/>
      <c r="H52" s="489">
        <f t="shared" si="0"/>
        <v>0</v>
      </c>
      <c r="I52" s="489">
        <v>0</v>
      </c>
      <c r="J52" s="489">
        <f t="shared" si="1"/>
        <v>0</v>
      </c>
      <c r="K52" s="869"/>
      <c r="L52" s="489">
        <f t="shared" si="3"/>
        <v>0</v>
      </c>
      <c r="M52" s="869"/>
    </row>
    <row r="53" spans="1:13" s="6" customFormat="1" x14ac:dyDescent="0.2">
      <c r="A53" s="459" t="s">
        <v>862</v>
      </c>
      <c r="B53" s="459" t="s">
        <v>194</v>
      </c>
      <c r="C53" s="315" t="s">
        <v>429</v>
      </c>
      <c r="D53" s="202">
        <v>19000</v>
      </c>
      <c r="E53" s="202"/>
      <c r="F53" s="493">
        <v>0</v>
      </c>
      <c r="G53" s="601"/>
      <c r="H53" s="493">
        <f t="shared" si="0"/>
        <v>19000</v>
      </c>
      <c r="I53" s="493">
        <v>19000</v>
      </c>
      <c r="J53" s="493">
        <f t="shared" si="1"/>
        <v>0</v>
      </c>
      <c r="K53" s="868">
        <f t="shared" si="2"/>
        <v>0</v>
      </c>
      <c r="L53" s="493">
        <f t="shared" si="3"/>
        <v>0</v>
      </c>
      <c r="M53" s="868">
        <f t="shared" si="4"/>
        <v>0</v>
      </c>
    </row>
    <row r="54" spans="1:13" s="6" customFormat="1" x14ac:dyDescent="0.2">
      <c r="A54" s="459"/>
      <c r="B54" s="459"/>
      <c r="C54" s="308" t="s">
        <v>119</v>
      </c>
      <c r="D54" s="489">
        <v>4000</v>
      </c>
      <c r="E54" s="145"/>
      <c r="F54" s="489">
        <v>0</v>
      </c>
      <c r="G54" s="567"/>
      <c r="H54" s="489">
        <f t="shared" si="0"/>
        <v>4000</v>
      </c>
      <c r="I54" s="489">
        <v>4000</v>
      </c>
      <c r="J54" s="489">
        <f t="shared" si="1"/>
        <v>0</v>
      </c>
      <c r="K54" s="869">
        <f t="shared" si="2"/>
        <v>0</v>
      </c>
      <c r="L54" s="489">
        <f t="shared" si="3"/>
        <v>0</v>
      </c>
      <c r="M54" s="869">
        <f t="shared" si="4"/>
        <v>0</v>
      </c>
    </row>
    <row r="55" spans="1:13" s="6" customFormat="1" x14ac:dyDescent="0.2">
      <c r="A55" s="459"/>
      <c r="B55" s="459"/>
      <c r="C55" s="308"/>
      <c r="D55" s="145"/>
      <c r="E55" s="145"/>
      <c r="F55" s="489">
        <v>0</v>
      </c>
      <c r="G55" s="567"/>
      <c r="H55" s="489">
        <f t="shared" si="0"/>
        <v>0</v>
      </c>
      <c r="I55" s="489">
        <v>0</v>
      </c>
      <c r="J55" s="489">
        <f t="shared" si="1"/>
        <v>0</v>
      </c>
      <c r="K55" s="869"/>
      <c r="L55" s="489">
        <f t="shared" si="3"/>
        <v>0</v>
      </c>
      <c r="M55" s="869"/>
    </row>
    <row r="56" spans="1:13" s="6" customFormat="1" x14ac:dyDescent="0.2">
      <c r="A56" s="459" t="s">
        <v>884</v>
      </c>
      <c r="B56" s="459" t="s">
        <v>194</v>
      </c>
      <c r="C56" s="338" t="s">
        <v>431</v>
      </c>
      <c r="D56" s="179">
        <v>63840</v>
      </c>
      <c r="E56" s="179"/>
      <c r="F56" s="179">
        <v>0</v>
      </c>
      <c r="G56" s="577">
        <v>1330</v>
      </c>
      <c r="H56" s="179">
        <f t="shared" si="0"/>
        <v>65170</v>
      </c>
      <c r="I56" s="179">
        <v>63840</v>
      </c>
      <c r="J56" s="179">
        <f t="shared" si="1"/>
        <v>0</v>
      </c>
      <c r="K56" s="542">
        <f t="shared" si="2"/>
        <v>0</v>
      </c>
      <c r="L56" s="179">
        <f t="shared" si="3"/>
        <v>-1330</v>
      </c>
      <c r="M56" s="542">
        <f t="shared" si="4"/>
        <v>-2.0408163265306121E-2</v>
      </c>
    </row>
    <row r="57" spans="1:13" s="6" customFormat="1" x14ac:dyDescent="0.2">
      <c r="A57" s="459"/>
      <c r="B57" s="459"/>
      <c r="C57" s="308" t="s">
        <v>119</v>
      </c>
      <c r="D57" s="489">
        <v>48000</v>
      </c>
      <c r="E57" s="145"/>
      <c r="F57" s="489">
        <v>0</v>
      </c>
      <c r="G57" s="781">
        <v>1000</v>
      </c>
      <c r="H57" s="489">
        <f t="shared" si="0"/>
        <v>49000</v>
      </c>
      <c r="I57" s="489">
        <v>48000</v>
      </c>
      <c r="J57" s="489">
        <f t="shared" si="1"/>
        <v>0</v>
      </c>
      <c r="K57" s="869">
        <f t="shared" si="2"/>
        <v>0</v>
      </c>
      <c r="L57" s="489">
        <f t="shared" si="3"/>
        <v>-1000</v>
      </c>
      <c r="M57" s="869">
        <f t="shared" si="4"/>
        <v>-2.0408163265306121E-2</v>
      </c>
    </row>
    <row r="58" spans="1:13" s="6" customFormat="1" x14ac:dyDescent="0.2">
      <c r="A58" s="459"/>
      <c r="B58" s="459"/>
      <c r="C58" s="65"/>
      <c r="D58" s="179"/>
      <c r="E58" s="179"/>
      <c r="F58" s="179">
        <v>0</v>
      </c>
      <c r="G58" s="577"/>
      <c r="H58" s="179">
        <f t="shared" si="0"/>
        <v>0</v>
      </c>
      <c r="I58" s="179">
        <v>0</v>
      </c>
      <c r="J58" s="179">
        <f t="shared" si="1"/>
        <v>0</v>
      </c>
      <c r="K58" s="542"/>
      <c r="L58" s="179">
        <f t="shared" si="3"/>
        <v>0</v>
      </c>
      <c r="M58" s="542"/>
    </row>
    <row r="59" spans="1:13" s="6" customFormat="1" x14ac:dyDescent="0.2">
      <c r="A59" s="459" t="s">
        <v>862</v>
      </c>
      <c r="B59" s="459" t="s">
        <v>194</v>
      </c>
      <c r="C59" s="316" t="s">
        <v>830</v>
      </c>
      <c r="D59" s="493">
        <v>90500</v>
      </c>
      <c r="E59" s="493"/>
      <c r="F59" s="493">
        <v>-90500</v>
      </c>
      <c r="G59" s="601"/>
      <c r="H59" s="493">
        <f t="shared" si="0"/>
        <v>0</v>
      </c>
      <c r="I59" s="493">
        <v>0</v>
      </c>
      <c r="J59" s="493">
        <f t="shared" si="1"/>
        <v>-90500</v>
      </c>
      <c r="K59" s="868">
        <f t="shared" si="2"/>
        <v>-1</v>
      </c>
      <c r="L59" s="493">
        <f t="shared" si="3"/>
        <v>0</v>
      </c>
      <c r="M59" s="868"/>
    </row>
    <row r="60" spans="1:13" s="6" customFormat="1" x14ac:dyDescent="0.2">
      <c r="A60" s="459"/>
      <c r="B60" s="459"/>
      <c r="C60" s="411" t="s">
        <v>119</v>
      </c>
      <c r="D60" s="489">
        <v>3000</v>
      </c>
      <c r="E60" s="489"/>
      <c r="F60" s="489">
        <v>-3000</v>
      </c>
      <c r="G60" s="567"/>
      <c r="H60" s="489">
        <f t="shared" si="0"/>
        <v>0</v>
      </c>
      <c r="I60" s="489">
        <v>0</v>
      </c>
      <c r="J60" s="489">
        <f t="shared" si="1"/>
        <v>-3000</v>
      </c>
      <c r="K60" s="869">
        <f t="shared" si="2"/>
        <v>-1</v>
      </c>
      <c r="L60" s="489">
        <f t="shared" si="3"/>
        <v>0</v>
      </c>
      <c r="M60" s="869"/>
    </row>
    <row r="61" spans="1:13" s="6" customFormat="1" x14ac:dyDescent="0.2">
      <c r="A61" s="459"/>
      <c r="B61" s="459"/>
      <c r="C61" s="308"/>
      <c r="D61" s="145"/>
      <c r="E61" s="145"/>
      <c r="F61" s="489">
        <v>0</v>
      </c>
      <c r="G61" s="567"/>
      <c r="H61" s="489">
        <f t="shared" si="0"/>
        <v>0</v>
      </c>
      <c r="I61" s="489">
        <v>0</v>
      </c>
      <c r="J61" s="489">
        <f t="shared" si="1"/>
        <v>0</v>
      </c>
      <c r="K61" s="869"/>
      <c r="L61" s="489">
        <f t="shared" si="3"/>
        <v>0</v>
      </c>
      <c r="M61" s="869"/>
    </row>
    <row r="62" spans="1:13" s="6" customFormat="1" x14ac:dyDescent="0.2">
      <c r="A62" s="459" t="s">
        <v>862</v>
      </c>
      <c r="B62" s="459" t="s">
        <v>194</v>
      </c>
      <c r="C62" s="307" t="s">
        <v>570</v>
      </c>
      <c r="D62" s="202">
        <f>60000-20000</f>
        <v>40000</v>
      </c>
      <c r="E62" s="202"/>
      <c r="F62" s="493">
        <v>-20000</v>
      </c>
      <c r="G62" s="601"/>
      <c r="H62" s="493">
        <f t="shared" si="0"/>
        <v>20000</v>
      </c>
      <c r="I62" s="493">
        <v>40000</v>
      </c>
      <c r="J62" s="493">
        <f t="shared" si="1"/>
        <v>0</v>
      </c>
      <c r="K62" s="868">
        <f t="shared" si="2"/>
        <v>0</v>
      </c>
      <c r="L62" s="493">
        <f t="shared" si="3"/>
        <v>20000</v>
      </c>
      <c r="M62" s="868">
        <f t="shared" si="4"/>
        <v>1</v>
      </c>
    </row>
    <row r="63" spans="1:13" s="6" customFormat="1" x14ac:dyDescent="0.2">
      <c r="A63" s="459"/>
      <c r="B63" s="459"/>
      <c r="C63" s="307"/>
      <c r="D63" s="202"/>
      <c r="E63" s="202"/>
      <c r="F63" s="493">
        <v>0</v>
      </c>
      <c r="G63" s="601"/>
      <c r="H63" s="493">
        <f t="shared" si="0"/>
        <v>0</v>
      </c>
      <c r="I63" s="493">
        <v>0</v>
      </c>
      <c r="J63" s="493">
        <f t="shared" si="1"/>
        <v>0</v>
      </c>
      <c r="K63" s="868"/>
      <c r="L63" s="493">
        <f t="shared" si="3"/>
        <v>0</v>
      </c>
      <c r="M63" s="868"/>
    </row>
    <row r="64" spans="1:13" s="459" customFormat="1" x14ac:dyDescent="0.2">
      <c r="A64" s="459" t="s">
        <v>862</v>
      </c>
      <c r="B64" s="459" t="s">
        <v>194</v>
      </c>
      <c r="C64" s="307" t="s">
        <v>675</v>
      </c>
      <c r="D64" s="493">
        <v>500000</v>
      </c>
      <c r="E64" s="493"/>
      <c r="F64" s="493">
        <v>130000</v>
      </c>
      <c r="G64" s="601">
        <v>155000</v>
      </c>
      <c r="H64" s="493">
        <f t="shared" si="0"/>
        <v>785000</v>
      </c>
      <c r="I64" s="493">
        <v>0</v>
      </c>
      <c r="J64" s="493">
        <f t="shared" si="1"/>
        <v>-500000</v>
      </c>
      <c r="K64" s="868">
        <f t="shared" si="2"/>
        <v>-1</v>
      </c>
      <c r="L64" s="493">
        <f t="shared" si="3"/>
        <v>-785000</v>
      </c>
      <c r="M64" s="868">
        <f t="shared" si="4"/>
        <v>-1</v>
      </c>
    </row>
    <row r="65" spans="1:13" s="459" customFormat="1" x14ac:dyDescent="0.2">
      <c r="C65" s="411" t="s">
        <v>119</v>
      </c>
      <c r="D65" s="231">
        <v>345000</v>
      </c>
      <c r="E65" s="231"/>
      <c r="F65" s="231">
        <v>80000</v>
      </c>
      <c r="G65" s="578"/>
      <c r="H65" s="231">
        <f t="shared" si="0"/>
        <v>425000</v>
      </c>
      <c r="I65" s="231">
        <v>0</v>
      </c>
      <c r="J65" s="231">
        <f t="shared" si="1"/>
        <v>-345000</v>
      </c>
      <c r="K65" s="875">
        <f t="shared" si="2"/>
        <v>-1</v>
      </c>
      <c r="L65" s="231">
        <f t="shared" si="3"/>
        <v>-425000</v>
      </c>
      <c r="M65" s="875">
        <f t="shared" si="4"/>
        <v>-1</v>
      </c>
    </row>
    <row r="66" spans="1:13" s="459" customFormat="1" x14ac:dyDescent="0.2">
      <c r="C66" s="308"/>
      <c r="D66" s="231"/>
      <c r="E66" s="231"/>
      <c r="F66" s="231">
        <v>0</v>
      </c>
      <c r="G66" s="578"/>
      <c r="H66" s="231">
        <f t="shared" si="0"/>
        <v>0</v>
      </c>
      <c r="I66" s="231">
        <v>0</v>
      </c>
      <c r="J66" s="231">
        <f t="shared" si="1"/>
        <v>0</v>
      </c>
      <c r="K66" s="875"/>
      <c r="L66" s="231">
        <f t="shared" si="3"/>
        <v>0</v>
      </c>
      <c r="M66" s="875"/>
    </row>
    <row r="67" spans="1:13" s="6" customFormat="1" ht="24" x14ac:dyDescent="0.2">
      <c r="A67" s="459" t="s">
        <v>862</v>
      </c>
      <c r="B67" s="459" t="s">
        <v>194</v>
      </c>
      <c r="C67" s="457" t="s">
        <v>797</v>
      </c>
      <c r="D67" s="179">
        <v>666820</v>
      </c>
      <c r="E67" s="179"/>
      <c r="F67" s="179">
        <v>-14140</v>
      </c>
      <c r="G67" s="577"/>
      <c r="H67" s="179">
        <f t="shared" si="0"/>
        <v>652680</v>
      </c>
      <c r="I67" s="179">
        <v>698774</v>
      </c>
      <c r="J67" s="179">
        <f t="shared" si="1"/>
        <v>31954</v>
      </c>
      <c r="K67" s="542">
        <f t="shared" si="2"/>
        <v>4.7919978404966861E-2</v>
      </c>
      <c r="L67" s="179">
        <f t="shared" si="3"/>
        <v>46094</v>
      </c>
      <c r="M67" s="542">
        <f t="shared" si="4"/>
        <v>7.0622663479806336E-2</v>
      </c>
    </row>
    <row r="68" spans="1:13" s="132" customFormat="1" x14ac:dyDescent="0.2">
      <c r="A68" s="505"/>
      <c r="B68" s="505"/>
      <c r="C68" s="411" t="s">
        <v>119</v>
      </c>
      <c r="D68" s="489">
        <v>406123</v>
      </c>
      <c r="E68" s="489"/>
      <c r="F68" s="489">
        <v>5700</v>
      </c>
      <c r="G68" s="567"/>
      <c r="H68" s="489">
        <f t="shared" si="0"/>
        <v>411823</v>
      </c>
      <c r="I68" s="489">
        <v>426268</v>
      </c>
      <c r="J68" s="489">
        <f t="shared" si="1"/>
        <v>20145</v>
      </c>
      <c r="K68" s="869">
        <f t="shared" si="2"/>
        <v>4.9603199030835488E-2</v>
      </c>
      <c r="L68" s="489">
        <f t="shared" si="3"/>
        <v>14445</v>
      </c>
      <c r="M68" s="869">
        <f t="shared" si="4"/>
        <v>3.507574856188217E-2</v>
      </c>
    </row>
    <row r="69" spans="1:13" s="132" customFormat="1" x14ac:dyDescent="0.2">
      <c r="A69" s="505"/>
      <c r="B69" s="505"/>
      <c r="C69" s="98"/>
      <c r="D69" s="458"/>
      <c r="E69" s="458"/>
      <c r="F69" s="458">
        <v>0</v>
      </c>
      <c r="G69" s="647"/>
      <c r="H69" s="458">
        <f t="shared" si="0"/>
        <v>0</v>
      </c>
      <c r="I69" s="458">
        <v>0</v>
      </c>
      <c r="J69" s="458">
        <f t="shared" si="1"/>
        <v>0</v>
      </c>
      <c r="K69" s="876"/>
      <c r="L69" s="458">
        <f t="shared" si="3"/>
        <v>0</v>
      </c>
      <c r="M69" s="876"/>
    </row>
    <row r="70" spans="1:13" s="132" customFormat="1" x14ac:dyDescent="0.2">
      <c r="A70" s="504" t="s">
        <v>864</v>
      </c>
      <c r="B70" s="504" t="s">
        <v>194</v>
      </c>
      <c r="C70" s="545" t="s">
        <v>1071</v>
      </c>
      <c r="D70" s="458"/>
      <c r="E70" s="458"/>
      <c r="F70" s="458"/>
      <c r="G70" s="647">
        <v>35000</v>
      </c>
      <c r="H70" s="973">
        <f t="shared" si="0"/>
        <v>35000</v>
      </c>
      <c r="I70" s="973">
        <v>0</v>
      </c>
      <c r="J70" s="973">
        <f t="shared" si="1"/>
        <v>0</v>
      </c>
      <c r="K70" s="974"/>
      <c r="L70" s="973">
        <f t="shared" si="3"/>
        <v>-35000</v>
      </c>
      <c r="M70" s="974">
        <f t="shared" si="4"/>
        <v>-1</v>
      </c>
    </row>
    <row r="71" spans="1:13" s="132" customFormat="1" x14ac:dyDescent="0.2">
      <c r="A71" s="505"/>
      <c r="B71" s="505"/>
      <c r="C71" s="98"/>
      <c r="D71" s="458"/>
      <c r="E71" s="458"/>
      <c r="F71" s="458"/>
      <c r="G71" s="647"/>
      <c r="H71" s="458">
        <f t="shared" si="0"/>
        <v>0</v>
      </c>
      <c r="I71" s="458">
        <v>0</v>
      </c>
      <c r="J71" s="458">
        <f t="shared" si="1"/>
        <v>0</v>
      </c>
      <c r="K71" s="876"/>
      <c r="L71" s="458">
        <f t="shared" si="3"/>
        <v>0</v>
      </c>
      <c r="M71" s="876"/>
    </row>
    <row r="72" spans="1:13" s="459" customFormat="1" x14ac:dyDescent="0.2">
      <c r="C72" s="379"/>
      <c r="F72" s="459">
        <v>0</v>
      </c>
      <c r="H72" s="459">
        <f t="shared" ref="H72:H108" si="5">D72+E72+F72+G72</f>
        <v>0</v>
      </c>
      <c r="I72" s="459">
        <v>0</v>
      </c>
      <c r="J72" s="459">
        <f t="shared" ref="J72:J112" si="6">I72-D72</f>
        <v>0</v>
      </c>
      <c r="K72" s="542"/>
      <c r="L72" s="459">
        <f t="shared" ref="L72:L112" si="7">I72-H72</f>
        <v>0</v>
      </c>
      <c r="M72" s="542"/>
    </row>
    <row r="73" spans="1:13" s="6" customFormat="1" ht="15.75" x14ac:dyDescent="0.2">
      <c r="A73" s="459"/>
      <c r="B73" s="459"/>
      <c r="C73" s="434" t="s">
        <v>792</v>
      </c>
      <c r="D73" s="181"/>
      <c r="E73" s="181"/>
      <c r="F73" s="181">
        <v>0</v>
      </c>
      <c r="G73" s="181"/>
      <c r="H73" s="181">
        <f t="shared" si="5"/>
        <v>0</v>
      </c>
      <c r="I73" s="181">
        <v>0</v>
      </c>
      <c r="J73" s="181">
        <f t="shared" si="6"/>
        <v>0</v>
      </c>
      <c r="K73" s="872"/>
      <c r="L73" s="181">
        <f t="shared" si="7"/>
        <v>0</v>
      </c>
      <c r="M73" s="872"/>
    </row>
    <row r="74" spans="1:13" s="6" customFormat="1" x14ac:dyDescent="0.2">
      <c r="A74" s="459"/>
      <c r="B74" s="459"/>
      <c r="C74" s="65"/>
      <c r="D74" s="179"/>
      <c r="E74" s="179"/>
      <c r="F74" s="179">
        <v>0</v>
      </c>
      <c r="G74" s="179"/>
      <c r="H74" s="179">
        <f t="shared" si="5"/>
        <v>0</v>
      </c>
      <c r="I74" s="179">
        <v>0</v>
      </c>
      <c r="J74" s="179">
        <f t="shared" si="6"/>
        <v>0</v>
      </c>
      <c r="K74" s="542"/>
      <c r="L74" s="179">
        <f t="shared" si="7"/>
        <v>0</v>
      </c>
      <c r="M74" s="542"/>
    </row>
    <row r="75" spans="1:13" s="6" customFormat="1" x14ac:dyDescent="0.2">
      <c r="A75" s="459"/>
      <c r="B75" s="459"/>
      <c r="C75" s="328" t="s">
        <v>193</v>
      </c>
      <c r="D75" s="570">
        <f>SUM(D83+D109+D116+D86+D119+D121+D124+D126+D131+D136+D141+D146+D151+D175+D267+D274+D231+D96+D98+D103+D105)</f>
        <v>42127952</v>
      </c>
      <c r="E75" s="570">
        <f>SUM(E83+E109+E116+E86+E119+E121+E124+E126+E131+E136+E141+E146+E151+E175+E267+E274+E231+E96+E98+E103+E105)</f>
        <v>0</v>
      </c>
      <c r="F75" s="570">
        <f>SUM(F83+F109+F116+F86+F119+F121+F124+F126+F131+F136+F141+F146+F151+F175+F267+F274+F231+F96+F98+F103+F105+F156+F161+F166)</f>
        <v>1548206</v>
      </c>
      <c r="G75" s="570">
        <f>SUM(G83+G109+G116+G86+G119+G121+G124+G126+G131+G136+G141+G146+G151+G175+G268+G275+G232+G96+G98+G103+G105+G156+G161+G166+G107)</f>
        <v>-371645</v>
      </c>
      <c r="H75" s="570">
        <f t="shared" si="5"/>
        <v>43304513</v>
      </c>
      <c r="I75" s="570">
        <v>47514577</v>
      </c>
      <c r="J75" s="570">
        <f t="shared" si="6"/>
        <v>5386625</v>
      </c>
      <c r="K75" s="816">
        <f t="shared" ref="K75:K112" si="8">J75/D75</f>
        <v>0.12786344325496762</v>
      </c>
      <c r="L75" s="570">
        <f t="shared" si="7"/>
        <v>4210064</v>
      </c>
      <c r="M75" s="816">
        <f t="shared" ref="M75:M112" si="9">L75/H75</f>
        <v>9.7219982591652751E-2</v>
      </c>
    </row>
    <row r="76" spans="1:13" s="6" customFormat="1" x14ac:dyDescent="0.2">
      <c r="A76" s="459"/>
      <c r="B76" s="459"/>
      <c r="C76" s="101" t="s">
        <v>479</v>
      </c>
      <c r="D76" s="571">
        <v>337000</v>
      </c>
      <c r="E76" s="571"/>
      <c r="F76" s="571">
        <v>470740</v>
      </c>
      <c r="G76" s="571"/>
      <c r="H76" s="571">
        <f t="shared" si="5"/>
        <v>807740</v>
      </c>
      <c r="I76" s="571">
        <v>842340</v>
      </c>
      <c r="J76" s="571">
        <f t="shared" si="6"/>
        <v>505340</v>
      </c>
      <c r="K76" s="529">
        <f t="shared" si="8"/>
        <v>1.4995252225519289</v>
      </c>
      <c r="L76" s="571">
        <f t="shared" si="7"/>
        <v>34600</v>
      </c>
      <c r="M76" s="529">
        <f t="shared" si="9"/>
        <v>4.2835565899918292E-2</v>
      </c>
    </row>
    <row r="77" spans="1:13" s="6" customFormat="1" x14ac:dyDescent="0.2">
      <c r="A77" s="459"/>
      <c r="B77" s="459"/>
      <c r="C77" s="329" t="s">
        <v>116</v>
      </c>
      <c r="D77" s="570">
        <f>D78+D80+D79</f>
        <v>42127952</v>
      </c>
      <c r="E77" s="570"/>
      <c r="F77" s="570">
        <f>F78+F80+F79</f>
        <v>1548206</v>
      </c>
      <c r="G77" s="570">
        <f>G78+G79+G80</f>
        <v>-371645</v>
      </c>
      <c r="H77" s="570">
        <f t="shared" si="5"/>
        <v>43304513</v>
      </c>
      <c r="I77" s="570">
        <v>47514577</v>
      </c>
      <c r="J77" s="570">
        <f t="shared" si="6"/>
        <v>5386625</v>
      </c>
      <c r="K77" s="816">
        <f t="shared" si="8"/>
        <v>0.12786344325496762</v>
      </c>
      <c r="L77" s="570">
        <f t="shared" si="7"/>
        <v>4210064</v>
      </c>
      <c r="M77" s="816">
        <f t="shared" si="9"/>
        <v>9.7219982591652751E-2</v>
      </c>
    </row>
    <row r="78" spans="1:13" s="6" customFormat="1" x14ac:dyDescent="0.2">
      <c r="A78" s="459"/>
      <c r="B78" s="459"/>
      <c r="C78" s="101" t="s">
        <v>117</v>
      </c>
      <c r="D78" s="571">
        <v>5986979</v>
      </c>
      <c r="E78" s="571"/>
      <c r="F78" s="571">
        <v>-116120</v>
      </c>
      <c r="G78" s="571">
        <f>'2.2 OMATULUD'!D19</f>
        <v>-9150</v>
      </c>
      <c r="H78" s="571">
        <f t="shared" si="5"/>
        <v>5861709</v>
      </c>
      <c r="I78" s="571">
        <v>5888879</v>
      </c>
      <c r="J78" s="571">
        <f t="shared" si="6"/>
        <v>-98100</v>
      </c>
      <c r="K78" s="529">
        <f t="shared" si="8"/>
        <v>-1.6385559394813311E-2</v>
      </c>
      <c r="L78" s="571">
        <f t="shared" si="7"/>
        <v>27170</v>
      </c>
      <c r="M78" s="529">
        <f t="shared" si="9"/>
        <v>4.6351669794594038E-3</v>
      </c>
    </row>
    <row r="79" spans="1:13" s="454" customFormat="1" x14ac:dyDescent="0.2">
      <c r="A79" s="724"/>
      <c r="B79" s="724"/>
      <c r="C79" s="95" t="s">
        <v>105</v>
      </c>
      <c r="D79" s="571">
        <v>911545</v>
      </c>
      <c r="E79" s="571"/>
      <c r="F79" s="571">
        <v>777377</v>
      </c>
      <c r="G79" s="571"/>
      <c r="H79" s="571">
        <f t="shared" si="5"/>
        <v>1688922</v>
      </c>
      <c r="I79" s="571">
        <v>1559256</v>
      </c>
      <c r="J79" s="571">
        <f t="shared" si="6"/>
        <v>647711</v>
      </c>
      <c r="K79" s="529">
        <f t="shared" si="8"/>
        <v>0.71056393266377416</v>
      </c>
      <c r="L79" s="571">
        <f t="shared" si="7"/>
        <v>-129666</v>
      </c>
      <c r="M79" s="529">
        <f t="shared" si="9"/>
        <v>-7.677441587000465E-2</v>
      </c>
    </row>
    <row r="80" spans="1:13" s="6" customFormat="1" x14ac:dyDescent="0.2">
      <c r="A80" s="459"/>
      <c r="B80" s="459"/>
      <c r="C80" s="330" t="s">
        <v>118</v>
      </c>
      <c r="D80" s="571">
        <f>D75-D78-D79</f>
        <v>35229428</v>
      </c>
      <c r="E80" s="571"/>
      <c r="F80" s="571">
        <f>F75-F78-F79</f>
        <v>886949</v>
      </c>
      <c r="G80" s="571">
        <f>G75-G78-G79</f>
        <v>-362495</v>
      </c>
      <c r="H80" s="571">
        <f t="shared" si="5"/>
        <v>35753882</v>
      </c>
      <c r="I80" s="571">
        <v>40066442</v>
      </c>
      <c r="J80" s="571">
        <f t="shared" si="6"/>
        <v>4837014</v>
      </c>
      <c r="K80" s="529">
        <f t="shared" si="8"/>
        <v>0.13730038421288021</v>
      </c>
      <c r="L80" s="571">
        <f t="shared" si="7"/>
        <v>4312560</v>
      </c>
      <c r="M80" s="529">
        <f t="shared" si="9"/>
        <v>0.12061795135979919</v>
      </c>
    </row>
    <row r="81" spans="1:13" s="6" customFormat="1" x14ac:dyDescent="0.2">
      <c r="A81" s="459"/>
      <c r="B81" s="459"/>
      <c r="C81" s="473" t="s">
        <v>909</v>
      </c>
      <c r="D81" s="572">
        <f>D84+D117+D122+D127+D132+D137+D142+D147+D152+D200+D214+D226+D263+D272+D279+D283</f>
        <v>11131166</v>
      </c>
      <c r="E81" s="572"/>
      <c r="F81" s="572">
        <f>F84+F117+F122+F127+F132+F137+F142+F147+F152+F200+F214+F226+F263+F272+F279+F283+F157+F162+F167</f>
        <v>-106588</v>
      </c>
      <c r="G81" s="572">
        <f>G84+G117+G122+G127+G132+G137+G142+G147+G152+G200+G214+G226+G263+G272+G279+G283+G157+G162+G167+G87</f>
        <v>-314843</v>
      </c>
      <c r="H81" s="572">
        <f t="shared" si="5"/>
        <v>10709735</v>
      </c>
      <c r="I81" s="572">
        <v>11879435</v>
      </c>
      <c r="J81" s="572">
        <f t="shared" si="6"/>
        <v>748269</v>
      </c>
      <c r="K81" s="877">
        <f t="shared" si="8"/>
        <v>6.7222876740855364E-2</v>
      </c>
      <c r="L81" s="572">
        <f t="shared" si="7"/>
        <v>1169700</v>
      </c>
      <c r="M81" s="877">
        <f t="shared" si="9"/>
        <v>0.10921838869028973</v>
      </c>
    </row>
    <row r="82" spans="1:13" s="6" customFormat="1" x14ac:dyDescent="0.2">
      <c r="A82" s="459"/>
      <c r="B82" s="459"/>
      <c r="C82" s="308"/>
      <c r="D82" s="578"/>
      <c r="E82" s="578"/>
      <c r="F82" s="578">
        <v>0</v>
      </c>
      <c r="G82" s="578"/>
      <c r="H82" s="578">
        <f t="shared" si="5"/>
        <v>0</v>
      </c>
      <c r="I82" s="578">
        <v>0</v>
      </c>
      <c r="J82" s="578">
        <f t="shared" si="6"/>
        <v>0</v>
      </c>
      <c r="K82" s="878"/>
      <c r="L82" s="578">
        <f t="shared" si="7"/>
        <v>0</v>
      </c>
      <c r="M82" s="878"/>
    </row>
    <row r="83" spans="1:13" s="6" customFormat="1" x14ac:dyDescent="0.2">
      <c r="A83" s="459" t="s">
        <v>862</v>
      </c>
      <c r="B83" s="459" t="s">
        <v>792</v>
      </c>
      <c r="C83" s="681" t="s">
        <v>835</v>
      </c>
      <c r="D83" s="656">
        <f>15363578</f>
        <v>15363578</v>
      </c>
      <c r="E83" s="656"/>
      <c r="F83" s="656">
        <v>103083</v>
      </c>
      <c r="G83" s="656">
        <v>-466536</v>
      </c>
      <c r="H83" s="656">
        <f t="shared" si="5"/>
        <v>15000125</v>
      </c>
      <c r="I83" s="656">
        <v>16446676</v>
      </c>
      <c r="J83" s="656">
        <f t="shared" si="6"/>
        <v>1083098</v>
      </c>
      <c r="K83" s="825">
        <f t="shared" si="8"/>
        <v>7.0497770766679485E-2</v>
      </c>
      <c r="L83" s="656">
        <f t="shared" si="7"/>
        <v>1446551</v>
      </c>
      <c r="M83" s="825">
        <f t="shared" si="9"/>
        <v>9.6435929700585829E-2</v>
      </c>
    </row>
    <row r="84" spans="1:13" s="6" customFormat="1" x14ac:dyDescent="0.2">
      <c r="A84" s="459"/>
      <c r="B84" s="459"/>
      <c r="C84" s="727" t="s">
        <v>119</v>
      </c>
      <c r="D84" s="728">
        <v>10093248</v>
      </c>
      <c r="E84" s="567"/>
      <c r="F84" s="567">
        <v>-211282</v>
      </c>
      <c r="G84" s="781">
        <v>-337264</v>
      </c>
      <c r="H84" s="567">
        <f t="shared" si="5"/>
        <v>9544702</v>
      </c>
      <c r="I84" s="567">
        <v>10533087</v>
      </c>
      <c r="J84" s="567">
        <f t="shared" si="6"/>
        <v>439839</v>
      </c>
      <c r="K84" s="878">
        <f t="shared" si="8"/>
        <v>4.3577548079666725E-2</v>
      </c>
      <c r="L84" s="567">
        <f t="shared" si="7"/>
        <v>988385</v>
      </c>
      <c r="M84" s="878">
        <f t="shared" si="9"/>
        <v>0.10355325917980467</v>
      </c>
    </row>
    <row r="85" spans="1:13" s="6" customFormat="1" x14ac:dyDescent="0.2">
      <c r="A85" s="459"/>
      <c r="B85" s="459"/>
      <c r="C85" s="308"/>
      <c r="D85" s="567"/>
      <c r="E85" s="567"/>
      <c r="F85" s="567">
        <v>0</v>
      </c>
      <c r="G85" s="567"/>
      <c r="H85" s="567">
        <f t="shared" si="5"/>
        <v>0</v>
      </c>
      <c r="I85" s="567">
        <v>0</v>
      </c>
      <c r="J85" s="567">
        <f t="shared" si="6"/>
        <v>0</v>
      </c>
      <c r="K85" s="878"/>
      <c r="L85" s="567">
        <f t="shared" si="7"/>
        <v>0</v>
      </c>
      <c r="M85" s="878"/>
    </row>
    <row r="86" spans="1:13" s="6" customFormat="1" x14ac:dyDescent="0.2">
      <c r="A86" s="459"/>
      <c r="B86" s="459"/>
      <c r="C86" s="682" t="s">
        <v>798</v>
      </c>
      <c r="D86" s="577">
        <v>779134</v>
      </c>
      <c r="E86" s="577"/>
      <c r="F86" s="577">
        <v>30000</v>
      </c>
      <c r="G86" s="577">
        <f>G88+G89+G90+G91</f>
        <v>5000</v>
      </c>
      <c r="H86" s="577">
        <f t="shared" si="5"/>
        <v>814134</v>
      </c>
      <c r="I86" s="577">
        <v>1168008</v>
      </c>
      <c r="J86" s="577">
        <f t="shared" si="6"/>
        <v>388874</v>
      </c>
      <c r="K86" s="757">
        <f t="shared" si="8"/>
        <v>0.4991105509450236</v>
      </c>
      <c r="L86" s="577">
        <f t="shared" si="7"/>
        <v>353874</v>
      </c>
      <c r="M86" s="757">
        <f t="shared" si="9"/>
        <v>0.43466308985990021</v>
      </c>
    </row>
    <row r="87" spans="1:13" s="6" customFormat="1" x14ac:dyDescent="0.2">
      <c r="A87" s="459"/>
      <c r="B87" s="459"/>
      <c r="C87" s="573" t="s">
        <v>119</v>
      </c>
      <c r="D87" s="567"/>
      <c r="E87" s="567"/>
      <c r="F87" s="567"/>
      <c r="G87" s="785">
        <v>22421</v>
      </c>
      <c r="H87" s="567">
        <f t="shared" si="5"/>
        <v>22421</v>
      </c>
      <c r="I87" s="567">
        <v>0</v>
      </c>
      <c r="J87" s="567">
        <f t="shared" si="6"/>
        <v>0</v>
      </c>
      <c r="K87" s="878"/>
      <c r="L87" s="567">
        <f t="shared" si="7"/>
        <v>-22421</v>
      </c>
      <c r="M87" s="878">
        <f t="shared" si="9"/>
        <v>-1</v>
      </c>
    </row>
    <row r="88" spans="1:13" s="6" customFormat="1" ht="24" x14ac:dyDescent="0.2">
      <c r="A88" s="459" t="s">
        <v>879</v>
      </c>
      <c r="B88" s="459" t="s">
        <v>792</v>
      </c>
      <c r="C88" s="686" t="s">
        <v>997</v>
      </c>
      <c r="D88" s="578">
        <v>189000</v>
      </c>
      <c r="E88" s="578"/>
      <c r="F88" s="578">
        <v>52500</v>
      </c>
      <c r="G88" s="578"/>
      <c r="H88" s="578">
        <f t="shared" si="5"/>
        <v>241500</v>
      </c>
      <c r="I88" s="578">
        <v>299000</v>
      </c>
      <c r="J88" s="578">
        <f t="shared" si="6"/>
        <v>110000</v>
      </c>
      <c r="K88" s="878">
        <f t="shared" si="8"/>
        <v>0.58201058201058198</v>
      </c>
      <c r="L88" s="578">
        <f t="shared" si="7"/>
        <v>57500</v>
      </c>
      <c r="M88" s="878">
        <f t="shared" si="9"/>
        <v>0.23809523809523808</v>
      </c>
    </row>
    <row r="89" spans="1:13" s="6" customFormat="1" x14ac:dyDescent="0.2">
      <c r="A89" s="459" t="s">
        <v>872</v>
      </c>
      <c r="B89" s="459" t="s">
        <v>792</v>
      </c>
      <c r="C89" s="98" t="s">
        <v>811</v>
      </c>
      <c r="D89" s="578">
        <v>350000</v>
      </c>
      <c r="E89" s="578"/>
      <c r="F89" s="578">
        <v>-32500</v>
      </c>
      <c r="G89" s="578">
        <v>10000</v>
      </c>
      <c r="H89" s="578">
        <f t="shared" si="5"/>
        <v>327500</v>
      </c>
      <c r="I89" s="578">
        <v>500000</v>
      </c>
      <c r="J89" s="578">
        <f t="shared" si="6"/>
        <v>150000</v>
      </c>
      <c r="K89" s="878">
        <f t="shared" si="8"/>
        <v>0.42857142857142855</v>
      </c>
      <c r="L89" s="578">
        <f t="shared" si="7"/>
        <v>172500</v>
      </c>
      <c r="M89" s="878">
        <f t="shared" si="9"/>
        <v>0.52671755725190839</v>
      </c>
    </row>
    <row r="90" spans="1:13" s="6" customFormat="1" x14ac:dyDescent="0.2">
      <c r="A90" s="459" t="s">
        <v>871</v>
      </c>
      <c r="B90" s="459" t="s">
        <v>792</v>
      </c>
      <c r="C90" s="98" t="s">
        <v>908</v>
      </c>
      <c r="D90" s="578">
        <v>61134</v>
      </c>
      <c r="E90" s="578"/>
      <c r="F90" s="578">
        <v>0</v>
      </c>
      <c r="G90" s="578"/>
      <c r="H90" s="578">
        <f t="shared" si="5"/>
        <v>61134</v>
      </c>
      <c r="I90" s="578">
        <v>0</v>
      </c>
      <c r="J90" s="578">
        <f t="shared" si="6"/>
        <v>-61134</v>
      </c>
      <c r="K90" s="878">
        <f t="shared" si="8"/>
        <v>-1</v>
      </c>
      <c r="L90" s="578">
        <f t="shared" si="7"/>
        <v>-61134</v>
      </c>
      <c r="M90" s="878">
        <f t="shared" si="9"/>
        <v>-1</v>
      </c>
    </row>
    <row r="91" spans="1:13" s="6" customFormat="1" x14ac:dyDescent="0.2">
      <c r="A91" s="459" t="s">
        <v>862</v>
      </c>
      <c r="B91" s="459" t="s">
        <v>792</v>
      </c>
      <c r="C91" s="575" t="s">
        <v>998</v>
      </c>
      <c r="D91" s="578">
        <f>D86-D88-D89-D90</f>
        <v>179000</v>
      </c>
      <c r="E91" s="578"/>
      <c r="F91" s="578">
        <v>10000</v>
      </c>
      <c r="G91" s="578">
        <v>-5000</v>
      </c>
      <c r="H91" s="578">
        <f t="shared" si="5"/>
        <v>184000</v>
      </c>
      <c r="I91" s="578">
        <v>369008</v>
      </c>
      <c r="J91" s="578">
        <f t="shared" si="6"/>
        <v>190008</v>
      </c>
      <c r="K91" s="878">
        <f t="shared" si="8"/>
        <v>1.0614972067039106</v>
      </c>
      <c r="L91" s="578">
        <f t="shared" si="7"/>
        <v>185008</v>
      </c>
      <c r="M91" s="878">
        <f t="shared" si="9"/>
        <v>1.0054782608695652</v>
      </c>
    </row>
    <row r="92" spans="1:13" s="6" customFormat="1" x14ac:dyDescent="0.2">
      <c r="A92" s="459"/>
      <c r="B92" s="459"/>
      <c r="C92" s="684"/>
      <c r="D92" s="683"/>
      <c r="E92" s="683"/>
      <c r="F92" s="683"/>
      <c r="G92" s="683"/>
      <c r="H92" s="683">
        <f t="shared" si="5"/>
        <v>0</v>
      </c>
      <c r="I92" s="683">
        <v>0</v>
      </c>
      <c r="J92" s="683">
        <f t="shared" si="6"/>
        <v>0</v>
      </c>
      <c r="K92" s="879"/>
      <c r="L92" s="683">
        <f t="shared" si="7"/>
        <v>0</v>
      </c>
      <c r="M92" s="879"/>
    </row>
    <row r="93" spans="1:13" s="6" customFormat="1" x14ac:dyDescent="0.2">
      <c r="A93" s="504" t="s">
        <v>872</v>
      </c>
      <c r="B93" s="6" t="s">
        <v>792</v>
      </c>
      <c r="C93" s="545" t="s">
        <v>1084</v>
      </c>
      <c r="D93" s="577"/>
      <c r="E93" s="577"/>
      <c r="F93" s="577"/>
      <c r="G93" s="577"/>
      <c r="H93" s="577">
        <f t="shared" si="5"/>
        <v>0</v>
      </c>
      <c r="I93" s="577">
        <v>850000</v>
      </c>
      <c r="J93" s="577">
        <f t="shared" si="6"/>
        <v>850000</v>
      </c>
      <c r="K93" s="757"/>
      <c r="L93" s="577">
        <f t="shared" si="7"/>
        <v>850000</v>
      </c>
      <c r="M93" s="757"/>
    </row>
    <row r="94" spans="1:13" s="6" customFormat="1" x14ac:dyDescent="0.2">
      <c r="A94" s="366"/>
      <c r="C94" s="727" t="s">
        <v>119</v>
      </c>
      <c r="D94" s="577"/>
      <c r="E94" s="577"/>
      <c r="F94" s="577"/>
      <c r="G94" s="577"/>
      <c r="H94" s="577">
        <f t="shared" si="5"/>
        <v>0</v>
      </c>
      <c r="I94" s="577">
        <v>326830</v>
      </c>
      <c r="J94" s="577">
        <f t="shared" si="6"/>
        <v>326830</v>
      </c>
      <c r="K94" s="757"/>
      <c r="L94" s="577">
        <f t="shared" si="7"/>
        <v>326830</v>
      </c>
      <c r="M94" s="757"/>
    </row>
    <row r="95" spans="1:13" s="6" customFormat="1" x14ac:dyDescent="0.2">
      <c r="A95" s="459"/>
      <c r="C95" s="98"/>
      <c r="D95" s="683"/>
      <c r="E95" s="683"/>
      <c r="F95" s="683"/>
      <c r="G95" s="683"/>
      <c r="H95" s="683">
        <f t="shared" si="5"/>
        <v>0</v>
      </c>
      <c r="I95" s="683">
        <v>0</v>
      </c>
      <c r="J95" s="683">
        <f t="shared" si="6"/>
        <v>0</v>
      </c>
      <c r="K95" s="879"/>
      <c r="L95" s="683">
        <f t="shared" si="7"/>
        <v>0</v>
      </c>
      <c r="M95" s="879"/>
    </row>
    <row r="96" spans="1:13" s="6" customFormat="1" x14ac:dyDescent="0.2">
      <c r="A96" s="366" t="s">
        <v>862</v>
      </c>
      <c r="B96" s="6" t="s">
        <v>792</v>
      </c>
      <c r="C96" s="545" t="s">
        <v>999</v>
      </c>
      <c r="D96" s="685">
        <v>0</v>
      </c>
      <c r="E96" s="685">
        <v>0</v>
      </c>
      <c r="F96" s="685">
        <v>90500</v>
      </c>
      <c r="G96" s="685">
        <v>-10000</v>
      </c>
      <c r="H96" s="577">
        <v>80500</v>
      </c>
      <c r="I96" s="577">
        <v>121500</v>
      </c>
      <c r="J96" s="577">
        <f t="shared" si="6"/>
        <v>121500</v>
      </c>
      <c r="K96" s="757"/>
      <c r="L96" s="577">
        <f t="shared" si="7"/>
        <v>41000</v>
      </c>
      <c r="M96" s="757">
        <f t="shared" si="9"/>
        <v>0.50931677018633537</v>
      </c>
    </row>
    <row r="97" spans="1:13" s="6" customFormat="1" x14ac:dyDescent="0.2">
      <c r="A97" s="459"/>
      <c r="B97" s="459"/>
      <c r="C97" s="98"/>
      <c r="D97" s="683"/>
      <c r="E97" s="683"/>
      <c r="F97" s="683"/>
      <c r="G97" s="683"/>
      <c r="H97" s="683">
        <f t="shared" si="5"/>
        <v>0</v>
      </c>
      <c r="I97" s="683">
        <v>0</v>
      </c>
      <c r="J97" s="683">
        <f t="shared" si="6"/>
        <v>0</v>
      </c>
      <c r="K97" s="879"/>
      <c r="L97" s="683">
        <f t="shared" si="7"/>
        <v>0</v>
      </c>
      <c r="M97" s="879"/>
    </row>
    <row r="98" spans="1:13" s="6" customFormat="1" x14ac:dyDescent="0.2">
      <c r="A98" s="366" t="s">
        <v>863</v>
      </c>
      <c r="B98" s="6" t="s">
        <v>792</v>
      </c>
      <c r="C98" s="650" t="s">
        <v>432</v>
      </c>
      <c r="D98" s="601">
        <f>SUM(D99:D101)</f>
        <v>51750</v>
      </c>
      <c r="E98" s="601"/>
      <c r="F98" s="601">
        <v>0</v>
      </c>
      <c r="G98" s="601"/>
      <c r="H98" s="601">
        <f t="shared" si="5"/>
        <v>51750</v>
      </c>
      <c r="I98" s="601">
        <v>51750</v>
      </c>
      <c r="J98" s="601">
        <f t="shared" si="6"/>
        <v>0</v>
      </c>
      <c r="K98" s="757">
        <f t="shared" si="8"/>
        <v>0</v>
      </c>
      <c r="L98" s="601">
        <f t="shared" si="7"/>
        <v>0</v>
      </c>
      <c r="M98" s="757">
        <f t="shared" si="9"/>
        <v>0</v>
      </c>
    </row>
    <row r="99" spans="1:13" s="6" customFormat="1" x14ac:dyDescent="0.2">
      <c r="C99" s="688" t="s">
        <v>670</v>
      </c>
      <c r="D99" s="612">
        <v>45000</v>
      </c>
      <c r="E99" s="612"/>
      <c r="F99" s="612">
        <v>0</v>
      </c>
      <c r="G99" s="612"/>
      <c r="H99" s="612">
        <f t="shared" si="5"/>
        <v>45000</v>
      </c>
      <c r="I99" s="612">
        <v>45000</v>
      </c>
      <c r="J99" s="612">
        <f t="shared" si="6"/>
        <v>0</v>
      </c>
      <c r="K99" s="880">
        <f t="shared" si="8"/>
        <v>0</v>
      </c>
      <c r="L99" s="612">
        <f t="shared" si="7"/>
        <v>0</v>
      </c>
      <c r="M99" s="880">
        <f t="shared" si="9"/>
        <v>0</v>
      </c>
    </row>
    <row r="100" spans="1:13" s="6" customFormat="1" x14ac:dyDescent="0.2">
      <c r="C100" s="689" t="s">
        <v>469</v>
      </c>
      <c r="D100" s="612">
        <v>5750</v>
      </c>
      <c r="E100" s="612"/>
      <c r="F100" s="612">
        <v>0</v>
      </c>
      <c r="G100" s="612"/>
      <c r="H100" s="612">
        <f t="shared" si="5"/>
        <v>5750</v>
      </c>
      <c r="I100" s="612">
        <v>5750</v>
      </c>
      <c r="J100" s="612">
        <f t="shared" si="6"/>
        <v>0</v>
      </c>
      <c r="K100" s="880">
        <f t="shared" si="8"/>
        <v>0</v>
      </c>
      <c r="L100" s="612">
        <f t="shared" si="7"/>
        <v>0</v>
      </c>
      <c r="M100" s="880">
        <f t="shared" si="9"/>
        <v>0</v>
      </c>
    </row>
    <row r="101" spans="1:13" s="6" customFormat="1" x14ac:dyDescent="0.2">
      <c r="C101" s="689" t="s">
        <v>433</v>
      </c>
      <c r="D101" s="612">
        <v>1000</v>
      </c>
      <c r="E101" s="612"/>
      <c r="F101" s="612">
        <v>0</v>
      </c>
      <c r="G101" s="612"/>
      <c r="H101" s="612">
        <f t="shared" si="5"/>
        <v>1000</v>
      </c>
      <c r="I101" s="612">
        <v>1000</v>
      </c>
      <c r="J101" s="612">
        <f t="shared" si="6"/>
        <v>0</v>
      </c>
      <c r="K101" s="880">
        <f t="shared" si="8"/>
        <v>0</v>
      </c>
      <c r="L101" s="612">
        <f t="shared" si="7"/>
        <v>0</v>
      </c>
      <c r="M101" s="880">
        <f t="shared" si="9"/>
        <v>0</v>
      </c>
    </row>
    <row r="102" spans="1:13" s="6" customFormat="1" x14ac:dyDescent="0.2">
      <c r="C102" s="684"/>
      <c r="D102" s="611"/>
      <c r="E102" s="611"/>
      <c r="F102" s="611"/>
      <c r="G102" s="611"/>
      <c r="H102" s="611">
        <f t="shared" si="5"/>
        <v>0</v>
      </c>
      <c r="I102" s="611">
        <v>0</v>
      </c>
      <c r="J102" s="611">
        <f t="shared" si="6"/>
        <v>0</v>
      </c>
      <c r="K102" s="880"/>
      <c r="L102" s="611">
        <f t="shared" si="7"/>
        <v>0</v>
      </c>
      <c r="M102" s="880"/>
    </row>
    <row r="103" spans="1:13" s="6" customFormat="1" ht="25.5" x14ac:dyDescent="0.2">
      <c r="A103" s="366" t="s">
        <v>863</v>
      </c>
      <c r="B103" s="6" t="s">
        <v>792</v>
      </c>
      <c r="C103" s="579" t="s">
        <v>1085</v>
      </c>
      <c r="D103" s="601">
        <v>5000</v>
      </c>
      <c r="E103" s="601"/>
      <c r="F103" s="601">
        <v>0</v>
      </c>
      <c r="G103" s="601"/>
      <c r="H103" s="601">
        <f t="shared" si="5"/>
        <v>5000</v>
      </c>
      <c r="I103" s="601">
        <v>8000</v>
      </c>
      <c r="J103" s="601">
        <f t="shared" si="6"/>
        <v>3000</v>
      </c>
      <c r="K103" s="757">
        <f t="shared" si="8"/>
        <v>0.6</v>
      </c>
      <c r="L103" s="601">
        <f t="shared" si="7"/>
        <v>3000</v>
      </c>
      <c r="M103" s="757">
        <f t="shared" si="9"/>
        <v>0.6</v>
      </c>
    </row>
    <row r="104" spans="1:13" s="6" customFormat="1" x14ac:dyDescent="0.2">
      <c r="A104" s="459"/>
      <c r="B104" s="459"/>
      <c r="C104" s="98"/>
      <c r="D104" s="611"/>
      <c r="E104" s="611"/>
      <c r="F104" s="611"/>
      <c r="G104" s="611"/>
      <c r="H104" s="611">
        <f t="shared" si="5"/>
        <v>0</v>
      </c>
      <c r="I104" s="601">
        <v>0</v>
      </c>
      <c r="J104" s="601">
        <f t="shared" si="6"/>
        <v>0</v>
      </c>
      <c r="K104" s="601"/>
      <c r="L104" s="601">
        <f t="shared" si="7"/>
        <v>0</v>
      </c>
      <c r="M104" s="880"/>
    </row>
    <row r="105" spans="1:13" s="6" customFormat="1" x14ac:dyDescent="0.2">
      <c r="A105" s="366" t="s">
        <v>863</v>
      </c>
      <c r="B105" s="6" t="s">
        <v>792</v>
      </c>
      <c r="C105" s="545" t="s">
        <v>1000</v>
      </c>
      <c r="D105" s="683"/>
      <c r="E105" s="683"/>
      <c r="F105" s="683"/>
      <c r="G105" s="683"/>
      <c r="H105" s="683">
        <f t="shared" si="5"/>
        <v>0</v>
      </c>
      <c r="I105" s="601">
        <v>20000</v>
      </c>
      <c r="J105" s="601">
        <f t="shared" si="6"/>
        <v>20000</v>
      </c>
      <c r="K105" s="601"/>
      <c r="L105" s="601">
        <f t="shared" si="7"/>
        <v>20000</v>
      </c>
      <c r="M105" s="879"/>
    </row>
    <row r="106" spans="1:13" s="6" customFormat="1" x14ac:dyDescent="0.2">
      <c r="A106" s="366"/>
      <c r="C106" s="545"/>
      <c r="D106" s="683"/>
      <c r="E106" s="683"/>
      <c r="F106" s="683"/>
      <c r="G106" s="683"/>
      <c r="H106" s="683">
        <f t="shared" si="5"/>
        <v>0</v>
      </c>
      <c r="I106" s="683">
        <v>0</v>
      </c>
      <c r="J106" s="683">
        <f t="shared" si="6"/>
        <v>0</v>
      </c>
      <c r="K106" s="879"/>
      <c r="L106" s="683">
        <f t="shared" si="7"/>
        <v>0</v>
      </c>
      <c r="M106" s="879"/>
    </row>
    <row r="107" spans="1:13" s="6" customFormat="1" x14ac:dyDescent="0.2">
      <c r="A107" s="504" t="s">
        <v>872</v>
      </c>
      <c r="B107" s="504" t="s">
        <v>792</v>
      </c>
      <c r="C107" s="579" t="s">
        <v>1039</v>
      </c>
      <c r="D107" s="683"/>
      <c r="E107" s="683"/>
      <c r="F107" s="683"/>
      <c r="G107" s="577">
        <v>50633</v>
      </c>
      <c r="H107" s="601">
        <f t="shared" si="5"/>
        <v>50633</v>
      </c>
      <c r="I107" s="601">
        <v>0</v>
      </c>
      <c r="J107" s="601">
        <f t="shared" si="6"/>
        <v>0</v>
      </c>
      <c r="K107" s="757"/>
      <c r="L107" s="601">
        <f t="shared" si="7"/>
        <v>-50633</v>
      </c>
      <c r="M107" s="757">
        <f t="shared" si="9"/>
        <v>-1</v>
      </c>
    </row>
    <row r="108" spans="1:13" s="6" customFormat="1" x14ac:dyDescent="0.2">
      <c r="A108" s="459"/>
      <c r="B108" s="459"/>
      <c r="C108" s="308"/>
      <c r="D108" s="683"/>
      <c r="E108" s="683"/>
      <c r="F108" s="683"/>
      <c r="G108" s="683"/>
      <c r="H108" s="683">
        <f t="shared" si="5"/>
        <v>0</v>
      </c>
      <c r="I108" s="683">
        <v>0</v>
      </c>
      <c r="J108" s="683">
        <f t="shared" si="6"/>
        <v>0</v>
      </c>
      <c r="K108" s="879"/>
      <c r="L108" s="683">
        <f t="shared" si="7"/>
        <v>0</v>
      </c>
      <c r="M108" s="879"/>
    </row>
    <row r="109" spans="1:13" s="6" customFormat="1" x14ac:dyDescent="0.2">
      <c r="A109" s="459"/>
      <c r="B109" s="459"/>
      <c r="C109" s="338" t="s">
        <v>854</v>
      </c>
      <c r="D109" s="577">
        <v>11029113</v>
      </c>
      <c r="E109" s="577"/>
      <c r="F109" s="577">
        <v>22000</v>
      </c>
      <c r="G109" s="577"/>
      <c r="H109" s="577">
        <v>11051113</v>
      </c>
      <c r="I109" s="577">
        <v>12377381</v>
      </c>
      <c r="J109" s="577">
        <f t="shared" si="6"/>
        <v>1348268</v>
      </c>
      <c r="K109" s="757">
        <f t="shared" si="8"/>
        <v>0.12224627674047768</v>
      </c>
      <c r="L109" s="577">
        <f t="shared" si="7"/>
        <v>1326268</v>
      </c>
      <c r="M109" s="757">
        <f t="shared" si="9"/>
        <v>0.1200121652905006</v>
      </c>
    </row>
    <row r="110" spans="1:13" s="6" customFormat="1" x14ac:dyDescent="0.2">
      <c r="A110" s="459" t="s">
        <v>863</v>
      </c>
      <c r="B110" s="459" t="s">
        <v>792</v>
      </c>
      <c r="C110" s="438" t="s">
        <v>856</v>
      </c>
      <c r="D110" s="578">
        <v>3651111</v>
      </c>
      <c r="E110" s="578"/>
      <c r="F110" s="578">
        <v>22000</v>
      </c>
      <c r="G110" s="578"/>
      <c r="H110" s="578">
        <v>3673111</v>
      </c>
      <c r="I110" s="578">
        <v>3450502</v>
      </c>
      <c r="J110" s="578">
        <f t="shared" si="6"/>
        <v>-200609</v>
      </c>
      <c r="K110" s="878">
        <f t="shared" si="8"/>
        <v>-5.4944645616087813E-2</v>
      </c>
      <c r="L110" s="578">
        <f t="shared" si="7"/>
        <v>-222609</v>
      </c>
      <c r="M110" s="878">
        <f t="shared" si="9"/>
        <v>-6.0605029360670012E-2</v>
      </c>
    </row>
    <row r="111" spans="1:13" s="6" customFormat="1" x14ac:dyDescent="0.2">
      <c r="A111" s="459" t="s">
        <v>879</v>
      </c>
      <c r="B111" s="459" t="s">
        <v>792</v>
      </c>
      <c r="C111" s="438" t="s">
        <v>857</v>
      </c>
      <c r="D111" s="578">
        <v>425400</v>
      </c>
      <c r="E111" s="578"/>
      <c r="F111" s="578">
        <v>0</v>
      </c>
      <c r="G111" s="578"/>
      <c r="H111" s="578">
        <v>425400</v>
      </c>
      <c r="I111" s="578">
        <v>459551</v>
      </c>
      <c r="J111" s="578">
        <f t="shared" si="6"/>
        <v>34151</v>
      </c>
      <c r="K111" s="878">
        <f t="shared" si="8"/>
        <v>8.0279736718382705E-2</v>
      </c>
      <c r="L111" s="578">
        <f t="shared" si="7"/>
        <v>34151</v>
      </c>
      <c r="M111" s="878">
        <f t="shared" si="9"/>
        <v>8.0279736718382705E-2</v>
      </c>
    </row>
    <row r="112" spans="1:13" s="6" customFormat="1" x14ac:dyDescent="0.2">
      <c r="A112" s="459" t="s">
        <v>862</v>
      </c>
      <c r="B112" s="459" t="s">
        <v>792</v>
      </c>
      <c r="C112" s="975" t="s">
        <v>855</v>
      </c>
      <c r="D112" s="231">
        <v>6952602</v>
      </c>
      <c r="E112" s="231"/>
      <c r="F112" s="231">
        <v>0</v>
      </c>
      <c r="G112" s="231"/>
      <c r="H112" s="231">
        <v>6952602</v>
      </c>
      <c r="I112" s="231">
        <v>8467328</v>
      </c>
      <c r="J112" s="231">
        <f t="shared" si="6"/>
        <v>1514726</v>
      </c>
      <c r="K112" s="875">
        <f t="shared" si="8"/>
        <v>0.21786462104403503</v>
      </c>
      <c r="L112" s="231">
        <f t="shared" si="7"/>
        <v>1514726</v>
      </c>
      <c r="M112" s="875">
        <f t="shared" si="9"/>
        <v>0.21786462104403503</v>
      </c>
    </row>
    <row r="113" spans="1:13" s="6" customFormat="1" x14ac:dyDescent="0.2">
      <c r="A113" s="459"/>
      <c r="B113" s="459"/>
      <c r="C113" s="438"/>
      <c r="D113" s="578"/>
      <c r="E113" s="578"/>
      <c r="F113" s="578">
        <v>0</v>
      </c>
      <c r="G113" s="578"/>
      <c r="H113" s="578">
        <f t="shared" ref="H113:H152" si="10">D113+E113+F113+G113</f>
        <v>0</v>
      </c>
      <c r="I113" s="578">
        <v>0</v>
      </c>
      <c r="J113" s="578">
        <f t="shared" ref="J113:J152" si="11">I113-D113</f>
        <v>0</v>
      </c>
      <c r="K113" s="878"/>
      <c r="L113" s="578">
        <f t="shared" ref="L113:L152" si="12">I113-H113</f>
        <v>0</v>
      </c>
      <c r="M113" s="878"/>
    </row>
    <row r="114" spans="1:13" s="6" customFormat="1" x14ac:dyDescent="0.2">
      <c r="A114" s="459"/>
      <c r="B114" s="459"/>
      <c r="C114" s="318" t="s">
        <v>849</v>
      </c>
      <c r="D114" s="757"/>
      <c r="E114" s="577"/>
      <c r="F114" s="577">
        <v>0</v>
      </c>
      <c r="G114" s="577"/>
      <c r="H114" s="577">
        <f t="shared" si="10"/>
        <v>0</v>
      </c>
      <c r="I114" s="577">
        <v>0</v>
      </c>
      <c r="J114" s="577">
        <f t="shared" si="11"/>
        <v>0</v>
      </c>
      <c r="K114" s="757"/>
      <c r="L114" s="577">
        <f t="shared" si="12"/>
        <v>0</v>
      </c>
      <c r="M114" s="757"/>
    </row>
    <row r="115" spans="1:13" s="6" customFormat="1" x14ac:dyDescent="0.2">
      <c r="A115" s="459"/>
      <c r="B115" s="459"/>
      <c r="C115" s="318"/>
      <c r="D115" s="577"/>
      <c r="E115" s="577"/>
      <c r="F115" s="577">
        <v>0</v>
      </c>
      <c r="G115" s="577"/>
      <c r="H115" s="577">
        <f t="shared" si="10"/>
        <v>0</v>
      </c>
      <c r="I115" s="577">
        <v>0</v>
      </c>
      <c r="J115" s="577">
        <f t="shared" si="11"/>
        <v>0</v>
      </c>
      <c r="K115" s="757"/>
      <c r="L115" s="577">
        <f t="shared" si="12"/>
        <v>0</v>
      </c>
      <c r="M115" s="757"/>
    </row>
    <row r="116" spans="1:13" s="6" customFormat="1" x14ac:dyDescent="0.2">
      <c r="A116" s="459" t="s">
        <v>862</v>
      </c>
      <c r="B116" s="459" t="s">
        <v>792</v>
      </c>
      <c r="C116" s="546" t="s">
        <v>799</v>
      </c>
      <c r="D116" s="577">
        <v>3540947</v>
      </c>
      <c r="E116" s="577"/>
      <c r="F116" s="577">
        <v>49148</v>
      </c>
      <c r="G116" s="577">
        <v>8700</v>
      </c>
      <c r="H116" s="577">
        <v>3598795</v>
      </c>
      <c r="I116" s="577">
        <v>3331920</v>
      </c>
      <c r="J116" s="577">
        <f t="shared" si="11"/>
        <v>-209027</v>
      </c>
      <c r="K116" s="757">
        <f t="shared" ref="K116:K152" si="13">J116/D116</f>
        <v>-5.9031383412403521E-2</v>
      </c>
      <c r="L116" s="577">
        <f t="shared" si="12"/>
        <v>-266875</v>
      </c>
      <c r="M116" s="757">
        <f t="shared" ref="M116:M152" si="14">L116/H116</f>
        <v>-7.4156766362073967E-2</v>
      </c>
    </row>
    <row r="117" spans="1:13" s="6" customFormat="1" x14ac:dyDescent="0.2">
      <c r="A117" s="459"/>
      <c r="B117" s="459"/>
      <c r="C117" s="727" t="s">
        <v>119</v>
      </c>
      <c r="D117" s="728">
        <v>119000</v>
      </c>
      <c r="E117" s="567"/>
      <c r="F117" s="567">
        <v>36732</v>
      </c>
      <c r="G117" s="567"/>
      <c r="H117" s="567">
        <v>155732</v>
      </c>
      <c r="I117" s="567">
        <v>0</v>
      </c>
      <c r="J117" s="567">
        <f t="shared" si="11"/>
        <v>-119000</v>
      </c>
      <c r="K117" s="878">
        <f t="shared" si="13"/>
        <v>-1</v>
      </c>
      <c r="L117" s="567">
        <f t="shared" si="12"/>
        <v>-155732</v>
      </c>
      <c r="M117" s="878">
        <f t="shared" si="14"/>
        <v>-1</v>
      </c>
    </row>
    <row r="118" spans="1:13" s="6" customFormat="1" x14ac:dyDescent="0.2">
      <c r="A118" s="459"/>
      <c r="B118" s="459"/>
      <c r="C118" s="308"/>
      <c r="D118" s="683"/>
      <c r="E118" s="683"/>
      <c r="F118" s="683">
        <v>0</v>
      </c>
      <c r="G118" s="683"/>
      <c r="H118" s="683">
        <f t="shared" si="10"/>
        <v>0</v>
      </c>
      <c r="I118" s="683">
        <v>0</v>
      </c>
      <c r="J118" s="683">
        <f t="shared" si="11"/>
        <v>0</v>
      </c>
      <c r="K118" s="879"/>
      <c r="L118" s="683">
        <f t="shared" si="12"/>
        <v>0</v>
      </c>
      <c r="M118" s="879"/>
    </row>
    <row r="119" spans="1:13" s="6" customFormat="1" x14ac:dyDescent="0.2">
      <c r="A119" s="459" t="s">
        <v>862</v>
      </c>
      <c r="B119" s="459" t="s">
        <v>792</v>
      </c>
      <c r="C119" s="546" t="s">
        <v>424</v>
      </c>
      <c r="D119" s="577">
        <v>259107</v>
      </c>
      <c r="E119" s="577"/>
      <c r="F119" s="577">
        <v>0</v>
      </c>
      <c r="G119" s="577"/>
      <c r="H119" s="577">
        <v>259107</v>
      </c>
      <c r="I119" s="577">
        <v>277207</v>
      </c>
      <c r="J119" s="577">
        <f t="shared" si="11"/>
        <v>18100</v>
      </c>
      <c r="K119" s="757">
        <f t="shared" si="13"/>
        <v>6.9855310740350507E-2</v>
      </c>
      <c r="L119" s="577">
        <f t="shared" si="12"/>
        <v>18100</v>
      </c>
      <c r="M119" s="757">
        <f t="shared" si="14"/>
        <v>6.9855310740350507E-2</v>
      </c>
    </row>
    <row r="120" spans="1:13" s="6" customFormat="1" x14ac:dyDescent="0.2">
      <c r="A120" s="459"/>
      <c r="B120" s="459"/>
      <c r="C120" s="395"/>
      <c r="D120" s="577"/>
      <c r="E120" s="577"/>
      <c r="F120" s="577">
        <v>0</v>
      </c>
      <c r="G120" s="577"/>
      <c r="H120" s="577">
        <f t="shared" si="10"/>
        <v>0</v>
      </c>
      <c r="I120" s="577">
        <v>0</v>
      </c>
      <c r="J120" s="577">
        <f t="shared" si="11"/>
        <v>0</v>
      </c>
      <c r="K120" s="757"/>
      <c r="L120" s="577">
        <f t="shared" si="12"/>
        <v>0</v>
      </c>
      <c r="M120" s="757"/>
    </row>
    <row r="121" spans="1:13" s="6" customFormat="1" x14ac:dyDescent="0.2">
      <c r="A121" s="459" t="s">
        <v>862</v>
      </c>
      <c r="B121" s="459" t="s">
        <v>792</v>
      </c>
      <c r="C121" s="546" t="s">
        <v>425</v>
      </c>
      <c r="D121" s="577">
        <v>1761636</v>
      </c>
      <c r="E121" s="577"/>
      <c r="F121" s="577">
        <v>0</v>
      </c>
      <c r="G121" s="577">
        <v>-16800</v>
      </c>
      <c r="H121" s="577">
        <v>1744836</v>
      </c>
      <c r="I121" s="577">
        <v>1700672</v>
      </c>
      <c r="J121" s="577">
        <f t="shared" si="11"/>
        <v>-60964</v>
      </c>
      <c r="K121" s="757">
        <f t="shared" si="13"/>
        <v>-3.4606468078536089E-2</v>
      </c>
      <c r="L121" s="577">
        <f t="shared" si="12"/>
        <v>-44164</v>
      </c>
      <c r="M121" s="757">
        <f t="shared" si="14"/>
        <v>-2.5311261344905769E-2</v>
      </c>
    </row>
    <row r="122" spans="1:13" s="6" customFormat="1" x14ac:dyDescent="0.2">
      <c r="A122" s="459"/>
      <c r="B122" s="459"/>
      <c r="C122" s="727" t="s">
        <v>119</v>
      </c>
      <c r="D122" s="728">
        <v>6000</v>
      </c>
      <c r="E122" s="567"/>
      <c r="F122" s="567">
        <v>0</v>
      </c>
      <c r="G122" s="567"/>
      <c r="H122" s="567">
        <v>6000</v>
      </c>
      <c r="I122" s="567">
        <v>0</v>
      </c>
      <c r="J122" s="567">
        <f t="shared" si="11"/>
        <v>-6000</v>
      </c>
      <c r="K122" s="878">
        <f t="shared" si="13"/>
        <v>-1</v>
      </c>
      <c r="L122" s="567">
        <f t="shared" si="12"/>
        <v>-6000</v>
      </c>
      <c r="M122" s="878">
        <f t="shared" si="14"/>
        <v>-1</v>
      </c>
    </row>
    <row r="123" spans="1:13" s="6" customFormat="1" x14ac:dyDescent="0.2">
      <c r="A123" s="459"/>
      <c r="B123" s="459"/>
      <c r="C123" s="65"/>
      <c r="D123" s="577"/>
      <c r="E123" s="577"/>
      <c r="F123" s="577">
        <v>0</v>
      </c>
      <c r="G123" s="577"/>
      <c r="H123" s="577">
        <f t="shared" si="10"/>
        <v>0</v>
      </c>
      <c r="I123" s="577">
        <v>0</v>
      </c>
      <c r="J123" s="577">
        <f t="shared" si="11"/>
        <v>0</v>
      </c>
      <c r="K123" s="757"/>
      <c r="L123" s="577">
        <f t="shared" si="12"/>
        <v>0</v>
      </c>
      <c r="M123" s="757"/>
    </row>
    <row r="124" spans="1:13" s="6" customFormat="1" ht="25.5" x14ac:dyDescent="0.2">
      <c r="A124" s="459" t="s">
        <v>862</v>
      </c>
      <c r="B124" s="459" t="s">
        <v>792</v>
      </c>
      <c r="C124" s="315" t="s">
        <v>601</v>
      </c>
      <c r="D124" s="577">
        <v>19000</v>
      </c>
      <c r="E124" s="577"/>
      <c r="F124" s="577">
        <v>0</v>
      </c>
      <c r="G124" s="577"/>
      <c r="H124" s="577">
        <f t="shared" si="10"/>
        <v>19000</v>
      </c>
      <c r="I124" s="577">
        <v>0</v>
      </c>
      <c r="J124" s="577">
        <f t="shared" si="11"/>
        <v>-19000</v>
      </c>
      <c r="K124" s="757">
        <f t="shared" si="13"/>
        <v>-1</v>
      </c>
      <c r="L124" s="577">
        <f t="shared" si="12"/>
        <v>-19000</v>
      </c>
      <c r="M124" s="757">
        <f t="shared" si="14"/>
        <v>-1</v>
      </c>
    </row>
    <row r="125" spans="1:13" s="6" customFormat="1" x14ac:dyDescent="0.2">
      <c r="A125" s="459"/>
      <c r="B125" s="459"/>
      <c r="C125" s="315"/>
      <c r="D125" s="577"/>
      <c r="E125" s="577"/>
      <c r="F125" s="577">
        <v>0</v>
      </c>
      <c r="G125" s="577"/>
      <c r="H125" s="577">
        <f t="shared" si="10"/>
        <v>0</v>
      </c>
      <c r="I125" s="577">
        <v>0</v>
      </c>
      <c r="J125" s="577">
        <f t="shared" si="11"/>
        <v>0</v>
      </c>
      <c r="K125" s="757"/>
      <c r="L125" s="577">
        <f t="shared" si="12"/>
        <v>0</v>
      </c>
      <c r="M125" s="757"/>
    </row>
    <row r="126" spans="1:13" s="6" customFormat="1" ht="38.25" x14ac:dyDescent="0.2">
      <c r="A126" s="459" t="s">
        <v>874</v>
      </c>
      <c r="B126" s="459" t="s">
        <v>792</v>
      </c>
      <c r="C126" s="315" t="s">
        <v>671</v>
      </c>
      <c r="D126" s="613">
        <v>573850</v>
      </c>
      <c r="E126" s="613"/>
      <c r="F126" s="613">
        <v>0</v>
      </c>
      <c r="G126" s="613"/>
      <c r="H126" s="613">
        <f t="shared" si="10"/>
        <v>573850</v>
      </c>
      <c r="I126" s="613">
        <v>309705</v>
      </c>
      <c r="J126" s="613">
        <f t="shared" si="11"/>
        <v>-264145</v>
      </c>
      <c r="K126" s="825">
        <f t="shared" si="13"/>
        <v>-0.460303215125904</v>
      </c>
      <c r="L126" s="613">
        <f t="shared" si="12"/>
        <v>-264145</v>
      </c>
      <c r="M126" s="825">
        <f t="shared" si="14"/>
        <v>-0.460303215125904</v>
      </c>
    </row>
    <row r="127" spans="1:13" s="6" customFormat="1" x14ac:dyDescent="0.2">
      <c r="A127" s="459"/>
      <c r="B127" s="459"/>
      <c r="C127" s="308" t="s">
        <v>119</v>
      </c>
      <c r="D127" s="728">
        <v>22422</v>
      </c>
      <c r="E127" s="567"/>
      <c r="F127" s="567">
        <v>0</v>
      </c>
      <c r="G127" s="567"/>
      <c r="H127" s="567">
        <f t="shared" si="10"/>
        <v>22422</v>
      </c>
      <c r="I127" s="567">
        <v>22421</v>
      </c>
      <c r="J127" s="567">
        <f t="shared" si="11"/>
        <v>-1</v>
      </c>
      <c r="K127" s="878">
        <f t="shared" si="13"/>
        <v>-4.4599054500044598E-5</v>
      </c>
      <c r="L127" s="567">
        <f t="shared" si="12"/>
        <v>-1</v>
      </c>
      <c r="M127" s="878">
        <f t="shared" si="14"/>
        <v>-4.4599054500044598E-5</v>
      </c>
    </row>
    <row r="128" spans="1:13" s="6" customFormat="1" x14ac:dyDescent="0.2">
      <c r="A128" s="459"/>
      <c r="B128" s="459"/>
      <c r="C128" s="339"/>
      <c r="D128" s="648"/>
      <c r="E128" s="648"/>
      <c r="F128" s="648">
        <v>0</v>
      </c>
      <c r="G128" s="648"/>
      <c r="H128" s="648">
        <f t="shared" si="10"/>
        <v>0</v>
      </c>
      <c r="I128" s="648">
        <v>0</v>
      </c>
      <c r="J128" s="648">
        <f t="shared" si="11"/>
        <v>0</v>
      </c>
      <c r="K128" s="881"/>
      <c r="L128" s="648">
        <f t="shared" si="12"/>
        <v>0</v>
      </c>
      <c r="M128" s="881"/>
    </row>
    <row r="129" spans="1:13" s="454" customFormat="1" ht="12" x14ac:dyDescent="0.2">
      <c r="A129" s="724"/>
      <c r="B129" s="724"/>
      <c r="C129" s="299" t="s">
        <v>329</v>
      </c>
      <c r="D129" s="568">
        <v>516465</v>
      </c>
      <c r="E129" s="568"/>
      <c r="F129" s="568">
        <v>0</v>
      </c>
      <c r="G129" s="568"/>
      <c r="H129" s="568">
        <f t="shared" si="10"/>
        <v>516465</v>
      </c>
      <c r="I129" s="568">
        <v>278735</v>
      </c>
      <c r="J129" s="568">
        <f t="shared" si="11"/>
        <v>-237730</v>
      </c>
      <c r="K129" s="882">
        <f t="shared" si="13"/>
        <v>-0.46030224700608946</v>
      </c>
      <c r="L129" s="568">
        <f t="shared" si="12"/>
        <v>-237730</v>
      </c>
      <c r="M129" s="882">
        <f t="shared" si="14"/>
        <v>-0.46030224700608946</v>
      </c>
    </row>
    <row r="130" spans="1:13" s="6" customFormat="1" x14ac:dyDescent="0.2">
      <c r="A130" s="459"/>
      <c r="B130" s="459"/>
      <c r="C130" s="315"/>
      <c r="D130" s="613"/>
      <c r="E130" s="613"/>
      <c r="F130" s="613">
        <v>0</v>
      </c>
      <c r="G130" s="613"/>
      <c r="H130" s="613">
        <f t="shared" si="10"/>
        <v>0</v>
      </c>
      <c r="I130" s="613">
        <v>0</v>
      </c>
      <c r="J130" s="613">
        <f t="shared" si="11"/>
        <v>0</v>
      </c>
      <c r="K130" s="825"/>
      <c r="L130" s="613">
        <f t="shared" si="12"/>
        <v>0</v>
      </c>
      <c r="M130" s="825"/>
    </row>
    <row r="131" spans="1:13" s="6" customFormat="1" ht="38.25" x14ac:dyDescent="0.2">
      <c r="A131" s="459" t="s">
        <v>864</v>
      </c>
      <c r="B131" s="459" t="s">
        <v>792</v>
      </c>
      <c r="C131" s="315" t="s">
        <v>672</v>
      </c>
      <c r="D131" s="613">
        <v>15700</v>
      </c>
      <c r="E131" s="613"/>
      <c r="F131" s="613">
        <v>0</v>
      </c>
      <c r="G131" s="613"/>
      <c r="H131" s="613">
        <f t="shared" si="10"/>
        <v>15700</v>
      </c>
      <c r="I131" s="613">
        <v>15700</v>
      </c>
      <c r="J131" s="613">
        <f t="shared" si="11"/>
        <v>0</v>
      </c>
      <c r="K131" s="825">
        <f t="shared" si="13"/>
        <v>0</v>
      </c>
      <c r="L131" s="613">
        <f t="shared" si="12"/>
        <v>0</v>
      </c>
      <c r="M131" s="825">
        <f t="shared" si="14"/>
        <v>0</v>
      </c>
    </row>
    <row r="132" spans="1:13" s="6" customFormat="1" x14ac:dyDescent="0.2">
      <c r="A132" s="459"/>
      <c r="B132" s="459"/>
      <c r="C132" s="308" t="s">
        <v>119</v>
      </c>
      <c r="D132" s="728">
        <v>7500</v>
      </c>
      <c r="E132" s="567"/>
      <c r="F132" s="567">
        <v>0</v>
      </c>
      <c r="G132" s="567"/>
      <c r="H132" s="567">
        <f t="shared" si="10"/>
        <v>7500</v>
      </c>
      <c r="I132" s="567">
        <v>7500</v>
      </c>
      <c r="J132" s="567">
        <f t="shared" si="11"/>
        <v>0</v>
      </c>
      <c r="K132" s="878">
        <f t="shared" si="13"/>
        <v>0</v>
      </c>
      <c r="L132" s="567">
        <f t="shared" si="12"/>
        <v>0</v>
      </c>
      <c r="M132" s="878">
        <f t="shared" si="14"/>
        <v>0</v>
      </c>
    </row>
    <row r="133" spans="1:13" s="6" customFormat="1" x14ac:dyDescent="0.2">
      <c r="A133" s="459"/>
      <c r="B133" s="459"/>
      <c r="C133" s="340"/>
      <c r="D133" s="599"/>
      <c r="E133" s="599"/>
      <c r="F133" s="599">
        <v>0</v>
      </c>
      <c r="G133" s="599"/>
      <c r="H133" s="599">
        <f t="shared" si="10"/>
        <v>0</v>
      </c>
      <c r="I133" s="599">
        <v>0</v>
      </c>
      <c r="J133" s="599">
        <f t="shared" si="11"/>
        <v>0</v>
      </c>
      <c r="K133" s="883"/>
      <c r="L133" s="599">
        <f t="shared" si="12"/>
        <v>0</v>
      </c>
      <c r="M133" s="883"/>
    </row>
    <row r="134" spans="1:13" s="6" customFormat="1" x14ac:dyDescent="0.2">
      <c r="A134" s="459"/>
      <c r="B134" s="459"/>
      <c r="C134" s="299" t="s">
        <v>329</v>
      </c>
      <c r="D134" s="568">
        <v>15700</v>
      </c>
      <c r="E134" s="568"/>
      <c r="F134" s="568">
        <v>0</v>
      </c>
      <c r="G134" s="568"/>
      <c r="H134" s="568">
        <f t="shared" si="10"/>
        <v>15700</v>
      </c>
      <c r="I134" s="568">
        <v>15700</v>
      </c>
      <c r="J134" s="568">
        <f t="shared" si="11"/>
        <v>0</v>
      </c>
      <c r="K134" s="882">
        <f t="shared" si="13"/>
        <v>0</v>
      </c>
      <c r="L134" s="568">
        <f t="shared" si="12"/>
        <v>0</v>
      </c>
      <c r="M134" s="882">
        <f t="shared" si="14"/>
        <v>0</v>
      </c>
    </row>
    <row r="135" spans="1:13" s="6" customFormat="1" x14ac:dyDescent="0.2">
      <c r="A135" s="459"/>
      <c r="B135" s="459"/>
      <c r="C135" s="299"/>
      <c r="D135" s="568"/>
      <c r="E135" s="568"/>
      <c r="F135" s="568">
        <v>0</v>
      </c>
      <c r="G135" s="568"/>
      <c r="H135" s="568">
        <f t="shared" si="10"/>
        <v>0</v>
      </c>
      <c r="I135" s="568">
        <v>0</v>
      </c>
      <c r="J135" s="568">
        <f t="shared" si="11"/>
        <v>0</v>
      </c>
      <c r="K135" s="882"/>
      <c r="L135" s="568">
        <f t="shared" si="12"/>
        <v>0</v>
      </c>
      <c r="M135" s="882"/>
    </row>
    <row r="136" spans="1:13" s="6" customFormat="1" ht="25.5" x14ac:dyDescent="0.2">
      <c r="A136" s="459" t="s">
        <v>872</v>
      </c>
      <c r="B136" s="459" t="s">
        <v>792</v>
      </c>
      <c r="C136" s="315" t="s">
        <v>800</v>
      </c>
      <c r="D136" s="613">
        <v>132938</v>
      </c>
      <c r="E136" s="613"/>
      <c r="F136" s="613">
        <v>0</v>
      </c>
      <c r="G136" s="613"/>
      <c r="H136" s="613">
        <f t="shared" si="10"/>
        <v>132938</v>
      </c>
      <c r="I136" s="613">
        <v>112312</v>
      </c>
      <c r="J136" s="613">
        <f t="shared" si="11"/>
        <v>-20626</v>
      </c>
      <c r="K136" s="825">
        <f t="shared" si="13"/>
        <v>-0.15515503467781974</v>
      </c>
      <c r="L136" s="613">
        <f t="shared" si="12"/>
        <v>-20626</v>
      </c>
      <c r="M136" s="825">
        <f t="shared" si="14"/>
        <v>-0.15515503467781974</v>
      </c>
    </row>
    <row r="137" spans="1:13" s="6" customFormat="1" x14ac:dyDescent="0.2">
      <c r="A137" s="459"/>
      <c r="B137" s="459"/>
      <c r="C137" s="308" t="s">
        <v>119</v>
      </c>
      <c r="D137" s="728">
        <v>44843</v>
      </c>
      <c r="E137" s="567"/>
      <c r="F137" s="567">
        <v>0</v>
      </c>
      <c r="G137" s="567"/>
      <c r="H137" s="567">
        <f t="shared" si="10"/>
        <v>44843</v>
      </c>
      <c r="I137" s="567">
        <v>39611</v>
      </c>
      <c r="J137" s="567">
        <f t="shared" si="11"/>
        <v>-5232</v>
      </c>
      <c r="K137" s="878">
        <f t="shared" si="13"/>
        <v>-0.11667372834110118</v>
      </c>
      <c r="L137" s="567">
        <f t="shared" si="12"/>
        <v>-5232</v>
      </c>
      <c r="M137" s="878">
        <f t="shared" si="14"/>
        <v>-0.11667372834110118</v>
      </c>
    </row>
    <row r="138" spans="1:13" s="6" customFormat="1" x14ac:dyDescent="0.2">
      <c r="A138" s="459"/>
      <c r="B138" s="459"/>
      <c r="C138" s="340"/>
      <c r="D138" s="599"/>
      <c r="E138" s="599"/>
      <c r="F138" s="599">
        <v>0</v>
      </c>
      <c r="G138" s="599"/>
      <c r="H138" s="599">
        <f t="shared" si="10"/>
        <v>0</v>
      </c>
      <c r="I138" s="599">
        <v>0</v>
      </c>
      <c r="J138" s="599">
        <f t="shared" si="11"/>
        <v>0</v>
      </c>
      <c r="K138" s="883"/>
      <c r="L138" s="599">
        <f t="shared" si="12"/>
        <v>0</v>
      </c>
      <c r="M138" s="883"/>
    </row>
    <row r="139" spans="1:13" s="6" customFormat="1" x14ac:dyDescent="0.2">
      <c r="A139" s="459"/>
      <c r="B139" s="459"/>
      <c r="C139" s="299" t="s">
        <v>329</v>
      </c>
      <c r="D139" s="568">
        <v>132938</v>
      </c>
      <c r="E139" s="568"/>
      <c r="F139" s="568">
        <v>0</v>
      </c>
      <c r="G139" s="568"/>
      <c r="H139" s="568">
        <f t="shared" si="10"/>
        <v>132938</v>
      </c>
      <c r="I139" s="568">
        <v>112312</v>
      </c>
      <c r="J139" s="568">
        <f t="shared" si="11"/>
        <v>-20626</v>
      </c>
      <c r="K139" s="882">
        <f t="shared" si="13"/>
        <v>-0.15515503467781974</v>
      </c>
      <c r="L139" s="568">
        <f t="shared" si="12"/>
        <v>-20626</v>
      </c>
      <c r="M139" s="882">
        <f t="shared" si="14"/>
        <v>-0.15515503467781974</v>
      </c>
    </row>
    <row r="140" spans="1:13" s="6" customFormat="1" x14ac:dyDescent="0.2">
      <c r="A140" s="459"/>
      <c r="B140" s="459"/>
      <c r="C140" s="341"/>
      <c r="D140" s="690"/>
      <c r="E140" s="690"/>
      <c r="F140" s="690">
        <v>0</v>
      </c>
      <c r="G140" s="690"/>
      <c r="H140" s="690">
        <f t="shared" si="10"/>
        <v>0</v>
      </c>
      <c r="I140" s="690">
        <v>0</v>
      </c>
      <c r="J140" s="690">
        <f t="shared" si="11"/>
        <v>0</v>
      </c>
      <c r="K140" s="884"/>
      <c r="L140" s="690">
        <f t="shared" si="12"/>
        <v>0</v>
      </c>
      <c r="M140" s="884"/>
    </row>
    <row r="141" spans="1:13" s="6" customFormat="1" ht="38.25" x14ac:dyDescent="0.2">
      <c r="A141" s="459" t="s">
        <v>864</v>
      </c>
      <c r="B141" s="459" t="s">
        <v>792</v>
      </c>
      <c r="C141" s="342" t="s">
        <v>673</v>
      </c>
      <c r="D141" s="577">
        <v>26660</v>
      </c>
      <c r="E141" s="577"/>
      <c r="F141" s="577">
        <v>1920</v>
      </c>
      <c r="G141" s="577"/>
      <c r="H141" s="577">
        <f t="shared" si="10"/>
        <v>28580</v>
      </c>
      <c r="I141" s="577">
        <v>8008</v>
      </c>
      <c r="J141" s="577">
        <f t="shared" si="11"/>
        <v>-18652</v>
      </c>
      <c r="K141" s="757">
        <f t="shared" si="13"/>
        <v>-0.6996249062265566</v>
      </c>
      <c r="L141" s="577">
        <f t="shared" si="12"/>
        <v>-20572</v>
      </c>
      <c r="M141" s="757">
        <f t="shared" si="14"/>
        <v>-0.71980405878236531</v>
      </c>
    </row>
    <row r="142" spans="1:13" s="6" customFormat="1" x14ac:dyDescent="0.2">
      <c r="A142" s="459"/>
      <c r="B142" s="459"/>
      <c r="C142" s="308" t="s">
        <v>119</v>
      </c>
      <c r="D142" s="729">
        <v>4970</v>
      </c>
      <c r="E142" s="691"/>
      <c r="F142" s="691">
        <v>0</v>
      </c>
      <c r="G142" s="691"/>
      <c r="H142" s="691">
        <f t="shared" si="10"/>
        <v>4970</v>
      </c>
      <c r="I142" s="691">
        <v>1744</v>
      </c>
      <c r="J142" s="691">
        <f t="shared" si="11"/>
        <v>-3226</v>
      </c>
      <c r="K142" s="885">
        <f t="shared" si="13"/>
        <v>-0.64909456740442661</v>
      </c>
      <c r="L142" s="691">
        <f t="shared" si="12"/>
        <v>-3226</v>
      </c>
      <c r="M142" s="885">
        <f t="shared" si="14"/>
        <v>-0.64909456740442661</v>
      </c>
    </row>
    <row r="143" spans="1:13" s="6" customFormat="1" x14ac:dyDescent="0.2">
      <c r="A143" s="459"/>
      <c r="B143" s="459"/>
      <c r="C143" s="36"/>
      <c r="D143" s="691"/>
      <c r="E143" s="691"/>
      <c r="F143" s="691">
        <v>0</v>
      </c>
      <c r="G143" s="691"/>
      <c r="H143" s="691">
        <f t="shared" si="10"/>
        <v>0</v>
      </c>
      <c r="I143" s="691">
        <v>0</v>
      </c>
      <c r="J143" s="691">
        <f t="shared" si="11"/>
        <v>0</v>
      </c>
      <c r="K143" s="885"/>
      <c r="L143" s="691">
        <f t="shared" si="12"/>
        <v>0</v>
      </c>
      <c r="M143" s="885"/>
    </row>
    <row r="144" spans="1:13" s="6" customFormat="1" x14ac:dyDescent="0.2">
      <c r="A144" s="459"/>
      <c r="B144" s="459"/>
      <c r="C144" s="299" t="s">
        <v>329</v>
      </c>
      <c r="D144" s="691">
        <v>22959</v>
      </c>
      <c r="E144" s="691"/>
      <c r="F144" s="691">
        <v>1632</v>
      </c>
      <c r="G144" s="691"/>
      <c r="H144" s="691">
        <f t="shared" si="10"/>
        <v>24591</v>
      </c>
      <c r="I144" s="691">
        <v>6806</v>
      </c>
      <c r="J144" s="691">
        <f t="shared" si="11"/>
        <v>-16153</v>
      </c>
      <c r="K144" s="885">
        <f t="shared" si="13"/>
        <v>-0.70355851735702779</v>
      </c>
      <c r="L144" s="691">
        <f t="shared" si="12"/>
        <v>-17785</v>
      </c>
      <c r="M144" s="885">
        <f t="shared" si="14"/>
        <v>-0.72323207677605628</v>
      </c>
    </row>
    <row r="145" spans="1:13" s="6" customFormat="1" x14ac:dyDescent="0.2">
      <c r="A145" s="459"/>
      <c r="B145" s="459"/>
      <c r="C145" s="299"/>
      <c r="D145" s="691"/>
      <c r="E145" s="691"/>
      <c r="F145" s="691">
        <v>0</v>
      </c>
      <c r="G145" s="691"/>
      <c r="H145" s="691">
        <f t="shared" si="10"/>
        <v>0</v>
      </c>
      <c r="I145" s="691">
        <v>0</v>
      </c>
      <c r="J145" s="691">
        <f t="shared" si="11"/>
        <v>0</v>
      </c>
      <c r="K145" s="885"/>
      <c r="L145" s="691">
        <f t="shared" si="12"/>
        <v>0</v>
      </c>
      <c r="M145" s="885"/>
    </row>
    <row r="146" spans="1:13" s="6" customFormat="1" ht="38.25" x14ac:dyDescent="0.2">
      <c r="A146" s="459" t="s">
        <v>862</v>
      </c>
      <c r="B146" s="459" t="s">
        <v>792</v>
      </c>
      <c r="C146" s="342" t="s">
        <v>674</v>
      </c>
      <c r="D146" s="577">
        <v>25000</v>
      </c>
      <c r="E146" s="577"/>
      <c r="F146" s="577">
        <v>0</v>
      </c>
      <c r="G146" s="577"/>
      <c r="H146" s="577">
        <f t="shared" si="10"/>
        <v>25000</v>
      </c>
      <c r="I146" s="577">
        <v>25000</v>
      </c>
      <c r="J146" s="577">
        <f t="shared" si="11"/>
        <v>0</v>
      </c>
      <c r="K146" s="757">
        <f t="shared" si="13"/>
        <v>0</v>
      </c>
      <c r="L146" s="577">
        <f t="shared" si="12"/>
        <v>0</v>
      </c>
      <c r="M146" s="757">
        <f t="shared" si="14"/>
        <v>0</v>
      </c>
    </row>
    <row r="147" spans="1:13" s="6" customFormat="1" x14ac:dyDescent="0.2">
      <c r="A147" s="459"/>
      <c r="B147" s="459"/>
      <c r="C147" s="308" t="s">
        <v>119</v>
      </c>
      <c r="D147" s="729">
        <v>9000</v>
      </c>
      <c r="E147" s="691"/>
      <c r="F147" s="691">
        <v>0</v>
      </c>
      <c r="G147" s="691"/>
      <c r="H147" s="691">
        <f t="shared" si="10"/>
        <v>9000</v>
      </c>
      <c r="I147" s="691">
        <v>9000</v>
      </c>
      <c r="J147" s="691">
        <f t="shared" si="11"/>
        <v>0</v>
      </c>
      <c r="K147" s="885">
        <f t="shared" si="13"/>
        <v>0</v>
      </c>
      <c r="L147" s="691">
        <f t="shared" si="12"/>
        <v>0</v>
      </c>
      <c r="M147" s="885">
        <f t="shared" si="14"/>
        <v>0</v>
      </c>
    </row>
    <row r="148" spans="1:13" s="6" customFormat="1" x14ac:dyDescent="0.2">
      <c r="A148" s="459"/>
      <c r="B148" s="459"/>
      <c r="C148" s="36"/>
      <c r="D148" s="691"/>
      <c r="E148" s="691"/>
      <c r="F148" s="691">
        <v>0</v>
      </c>
      <c r="G148" s="691"/>
      <c r="H148" s="691">
        <f t="shared" si="10"/>
        <v>0</v>
      </c>
      <c r="I148" s="691">
        <v>0</v>
      </c>
      <c r="J148" s="691">
        <f t="shared" si="11"/>
        <v>0</v>
      </c>
      <c r="K148" s="885"/>
      <c r="L148" s="691">
        <f t="shared" si="12"/>
        <v>0</v>
      </c>
      <c r="M148" s="885"/>
    </row>
    <row r="149" spans="1:13" s="6" customFormat="1" x14ac:dyDescent="0.2">
      <c r="A149" s="459"/>
      <c r="B149" s="459"/>
      <c r="C149" s="299" t="s">
        <v>329</v>
      </c>
      <c r="D149" s="691">
        <v>25000</v>
      </c>
      <c r="E149" s="691"/>
      <c r="F149" s="691">
        <v>0</v>
      </c>
      <c r="G149" s="691"/>
      <c r="H149" s="691">
        <f t="shared" si="10"/>
        <v>25000</v>
      </c>
      <c r="I149" s="691">
        <v>25000</v>
      </c>
      <c r="J149" s="691">
        <f t="shared" si="11"/>
        <v>0</v>
      </c>
      <c r="K149" s="885">
        <f t="shared" si="13"/>
        <v>0</v>
      </c>
      <c r="L149" s="691">
        <f t="shared" si="12"/>
        <v>0</v>
      </c>
      <c r="M149" s="885">
        <f t="shared" si="14"/>
        <v>0</v>
      </c>
    </row>
    <row r="150" spans="1:13" s="6" customFormat="1" x14ac:dyDescent="0.2">
      <c r="A150" s="459"/>
      <c r="B150" s="459"/>
      <c r="C150" s="299"/>
      <c r="D150" s="691"/>
      <c r="E150" s="691"/>
      <c r="F150" s="691">
        <v>0</v>
      </c>
      <c r="G150" s="691"/>
      <c r="H150" s="691">
        <f t="shared" si="10"/>
        <v>0</v>
      </c>
      <c r="I150" s="691">
        <v>0</v>
      </c>
      <c r="J150" s="691">
        <f t="shared" si="11"/>
        <v>0</v>
      </c>
      <c r="K150" s="885"/>
      <c r="L150" s="691">
        <f t="shared" si="12"/>
        <v>0</v>
      </c>
      <c r="M150" s="885"/>
    </row>
    <row r="151" spans="1:13" s="459" customFormat="1" ht="38.25" x14ac:dyDescent="0.2">
      <c r="A151" s="459" t="s">
        <v>879</v>
      </c>
      <c r="B151" s="459" t="s">
        <v>792</v>
      </c>
      <c r="C151" s="342" t="s">
        <v>719</v>
      </c>
      <c r="D151" s="577">
        <v>232143</v>
      </c>
      <c r="E151" s="577"/>
      <c r="F151" s="577">
        <v>30810</v>
      </c>
      <c r="G151" s="577"/>
      <c r="H151" s="577">
        <f t="shared" si="10"/>
        <v>262953</v>
      </c>
      <c r="I151" s="577">
        <v>208728</v>
      </c>
      <c r="J151" s="577">
        <f t="shared" si="11"/>
        <v>-23415</v>
      </c>
      <c r="K151" s="757">
        <f t="shared" si="13"/>
        <v>-0.10086455331412104</v>
      </c>
      <c r="L151" s="577">
        <f t="shared" si="12"/>
        <v>-54225</v>
      </c>
      <c r="M151" s="757">
        <f t="shared" si="14"/>
        <v>-0.20621555943457576</v>
      </c>
    </row>
    <row r="152" spans="1:13" s="459" customFormat="1" x14ac:dyDescent="0.2">
      <c r="C152" s="308" t="s">
        <v>119</v>
      </c>
      <c r="D152" s="729">
        <v>75378</v>
      </c>
      <c r="E152" s="691"/>
      <c r="F152" s="691">
        <v>0</v>
      </c>
      <c r="G152" s="691"/>
      <c r="H152" s="691">
        <f t="shared" si="10"/>
        <v>75378</v>
      </c>
      <c r="I152" s="691">
        <v>70919</v>
      </c>
      <c r="J152" s="691">
        <f t="shared" si="11"/>
        <v>-4459</v>
      </c>
      <c r="K152" s="885">
        <f t="shared" si="13"/>
        <v>-5.9155191169837355E-2</v>
      </c>
      <c r="L152" s="691">
        <f t="shared" si="12"/>
        <v>-4459</v>
      </c>
      <c r="M152" s="885">
        <f t="shared" si="14"/>
        <v>-5.9155191169837355E-2</v>
      </c>
    </row>
    <row r="153" spans="1:13" s="459" customFormat="1" x14ac:dyDescent="0.2">
      <c r="C153" s="36"/>
      <c r="D153" s="691"/>
      <c r="E153" s="691"/>
      <c r="F153" s="691">
        <v>0</v>
      </c>
      <c r="G153" s="691"/>
      <c r="H153" s="691">
        <f t="shared" ref="H153:H224" si="15">D153+E153+F153+G153</f>
        <v>0</v>
      </c>
      <c r="I153" s="691">
        <v>0</v>
      </c>
      <c r="J153" s="691">
        <f t="shared" ref="J153:J220" si="16">I153-D153</f>
        <v>0</v>
      </c>
      <c r="K153" s="885"/>
      <c r="L153" s="691">
        <f t="shared" ref="L153:L220" si="17">I153-H153</f>
        <v>0</v>
      </c>
      <c r="M153" s="885"/>
    </row>
    <row r="154" spans="1:13" s="6" customFormat="1" x14ac:dyDescent="0.2">
      <c r="A154" s="459"/>
      <c r="B154" s="459"/>
      <c r="C154" s="299" t="s">
        <v>329</v>
      </c>
      <c r="D154" s="691">
        <v>197322</v>
      </c>
      <c r="E154" s="691"/>
      <c r="F154" s="691">
        <v>0</v>
      </c>
      <c r="G154" s="691"/>
      <c r="H154" s="691">
        <f t="shared" si="15"/>
        <v>197322</v>
      </c>
      <c r="I154" s="691">
        <v>177419</v>
      </c>
      <c r="J154" s="691">
        <f t="shared" si="16"/>
        <v>-19903</v>
      </c>
      <c r="K154" s="885">
        <f t="shared" ref="K154:K220" si="18">J154/D154</f>
        <v>-0.10086559025349429</v>
      </c>
      <c r="L154" s="691">
        <f t="shared" si="17"/>
        <v>-19903</v>
      </c>
      <c r="M154" s="885">
        <f t="shared" ref="M154:M220" si="19">L154/H154</f>
        <v>-0.10086559025349429</v>
      </c>
    </row>
    <row r="155" spans="1:13" s="6" customFormat="1" x14ac:dyDescent="0.2">
      <c r="A155" s="459"/>
      <c r="B155" s="459"/>
      <c r="C155" s="299"/>
      <c r="D155" s="691"/>
      <c r="E155" s="691"/>
      <c r="F155" s="691">
        <v>0</v>
      </c>
      <c r="G155" s="691"/>
      <c r="H155" s="691">
        <f t="shared" si="15"/>
        <v>0</v>
      </c>
      <c r="I155" s="691">
        <v>0</v>
      </c>
      <c r="J155" s="691">
        <f t="shared" si="16"/>
        <v>0</v>
      </c>
      <c r="K155" s="885"/>
      <c r="L155" s="691">
        <f t="shared" si="17"/>
        <v>0</v>
      </c>
      <c r="M155" s="885"/>
    </row>
    <row r="156" spans="1:13" s="6" customFormat="1" ht="38.25" x14ac:dyDescent="0.2">
      <c r="A156" s="459" t="s">
        <v>862</v>
      </c>
      <c r="B156" s="459" t="s">
        <v>792</v>
      </c>
      <c r="C156" s="342" t="s">
        <v>1086</v>
      </c>
      <c r="D156" s="578"/>
      <c r="E156" s="578"/>
      <c r="F156" s="577">
        <v>548645</v>
      </c>
      <c r="G156" s="577"/>
      <c r="H156" s="577">
        <f t="shared" si="15"/>
        <v>548645</v>
      </c>
      <c r="I156" s="577">
        <v>658372</v>
      </c>
      <c r="J156" s="577">
        <f t="shared" si="16"/>
        <v>658372</v>
      </c>
      <c r="K156" s="757"/>
      <c r="L156" s="577">
        <f t="shared" si="17"/>
        <v>109727</v>
      </c>
      <c r="M156" s="757">
        <f t="shared" si="19"/>
        <v>0.19999635465556051</v>
      </c>
    </row>
    <row r="157" spans="1:13" s="6" customFormat="1" x14ac:dyDescent="0.2">
      <c r="A157" s="459"/>
      <c r="B157" s="459"/>
      <c r="C157" s="308" t="s">
        <v>119</v>
      </c>
      <c r="D157" s="231"/>
      <c r="E157" s="578"/>
      <c r="F157" s="578">
        <v>12656</v>
      </c>
      <c r="G157" s="578"/>
      <c r="H157" s="578">
        <f t="shared" si="15"/>
        <v>12656</v>
      </c>
      <c r="I157" s="578">
        <v>15188</v>
      </c>
      <c r="J157" s="578">
        <f t="shared" si="16"/>
        <v>15188</v>
      </c>
      <c r="K157" s="878"/>
      <c r="L157" s="578">
        <f t="shared" si="17"/>
        <v>2532</v>
      </c>
      <c r="M157" s="878">
        <f t="shared" si="19"/>
        <v>0.20006321112515804</v>
      </c>
    </row>
    <row r="158" spans="1:13" s="6" customFormat="1" x14ac:dyDescent="0.2">
      <c r="A158" s="459"/>
      <c r="B158" s="459"/>
      <c r="C158" s="36"/>
      <c r="D158" s="578"/>
      <c r="E158" s="578"/>
      <c r="F158" s="578">
        <v>0</v>
      </c>
      <c r="G158" s="578"/>
      <c r="H158" s="578">
        <f t="shared" si="15"/>
        <v>0</v>
      </c>
      <c r="I158" s="578">
        <v>0</v>
      </c>
      <c r="J158" s="578">
        <f t="shared" si="16"/>
        <v>0</v>
      </c>
      <c r="K158" s="878"/>
      <c r="L158" s="578">
        <f t="shared" si="17"/>
        <v>0</v>
      </c>
      <c r="M158" s="878"/>
    </row>
    <row r="159" spans="1:13" s="6" customFormat="1" x14ac:dyDescent="0.2">
      <c r="A159" s="459"/>
      <c r="B159" s="459"/>
      <c r="C159" s="299" t="s">
        <v>329</v>
      </c>
      <c r="D159" s="578"/>
      <c r="E159" s="578"/>
      <c r="F159" s="578">
        <v>548645</v>
      </c>
      <c r="G159" s="578"/>
      <c r="H159" s="578">
        <f t="shared" si="15"/>
        <v>548645</v>
      </c>
      <c r="I159" s="578">
        <v>658372</v>
      </c>
      <c r="J159" s="578">
        <f t="shared" si="16"/>
        <v>658372</v>
      </c>
      <c r="K159" s="878"/>
      <c r="L159" s="578">
        <f t="shared" si="17"/>
        <v>109727</v>
      </c>
      <c r="M159" s="878">
        <f t="shared" si="19"/>
        <v>0.19999635465556051</v>
      </c>
    </row>
    <row r="160" spans="1:13" s="6" customFormat="1" x14ac:dyDescent="0.2">
      <c r="A160" s="459"/>
      <c r="B160" s="459"/>
      <c r="C160" s="95"/>
      <c r="D160" s="578"/>
      <c r="E160" s="578"/>
      <c r="F160" s="578">
        <v>0</v>
      </c>
      <c r="G160" s="578"/>
      <c r="H160" s="578">
        <f t="shared" si="15"/>
        <v>0</v>
      </c>
      <c r="I160" s="578">
        <v>0</v>
      </c>
      <c r="J160" s="578">
        <f t="shared" si="16"/>
        <v>0</v>
      </c>
      <c r="K160" s="878"/>
      <c r="L160" s="578">
        <f t="shared" si="17"/>
        <v>0</v>
      </c>
      <c r="M160" s="878"/>
    </row>
    <row r="161" spans="1:13" s="6" customFormat="1" ht="38.25" x14ac:dyDescent="0.2">
      <c r="A161" s="459" t="s">
        <v>879</v>
      </c>
      <c r="B161" s="459" t="s">
        <v>792</v>
      </c>
      <c r="C161" s="342" t="s">
        <v>929</v>
      </c>
      <c r="D161" s="578"/>
      <c r="E161" s="578"/>
      <c r="F161" s="577">
        <v>79500</v>
      </c>
      <c r="G161" s="577"/>
      <c r="H161" s="577">
        <f t="shared" si="15"/>
        <v>79500</v>
      </c>
      <c r="I161" s="577">
        <v>142500</v>
      </c>
      <c r="J161" s="577">
        <f t="shared" si="16"/>
        <v>142500</v>
      </c>
      <c r="K161" s="757"/>
      <c r="L161" s="577">
        <f t="shared" si="17"/>
        <v>63000</v>
      </c>
      <c r="M161" s="757">
        <f t="shared" si="19"/>
        <v>0.79245283018867929</v>
      </c>
    </row>
    <row r="162" spans="1:13" s="6" customFormat="1" x14ac:dyDescent="0.2">
      <c r="A162" s="459"/>
      <c r="B162" s="459"/>
      <c r="C162" s="308" t="s">
        <v>119</v>
      </c>
      <c r="D162" s="231"/>
      <c r="E162" s="578"/>
      <c r="F162" s="578">
        <v>37369</v>
      </c>
      <c r="G162" s="578"/>
      <c r="H162" s="578">
        <f t="shared" si="15"/>
        <v>37369</v>
      </c>
      <c r="I162" s="578">
        <v>37369</v>
      </c>
      <c r="J162" s="578">
        <f t="shared" si="16"/>
        <v>37369</v>
      </c>
      <c r="K162" s="878"/>
      <c r="L162" s="578">
        <f t="shared" si="17"/>
        <v>0</v>
      </c>
      <c r="M162" s="878">
        <f t="shared" si="19"/>
        <v>0</v>
      </c>
    </row>
    <row r="163" spans="1:13" s="6" customFormat="1" x14ac:dyDescent="0.2">
      <c r="A163" s="459"/>
      <c r="B163" s="459"/>
      <c r="C163" s="36"/>
      <c r="D163" s="578"/>
      <c r="E163" s="578"/>
      <c r="F163" s="578">
        <v>0</v>
      </c>
      <c r="G163" s="578"/>
      <c r="H163" s="578">
        <f t="shared" si="15"/>
        <v>0</v>
      </c>
      <c r="I163" s="578">
        <v>0</v>
      </c>
      <c r="J163" s="578">
        <f t="shared" si="16"/>
        <v>0</v>
      </c>
      <c r="K163" s="878"/>
      <c r="L163" s="578">
        <f t="shared" si="17"/>
        <v>0</v>
      </c>
      <c r="M163" s="878"/>
    </row>
    <row r="164" spans="1:13" s="6" customFormat="1" x14ac:dyDescent="0.2">
      <c r="A164" s="459"/>
      <c r="B164" s="459"/>
      <c r="C164" s="299" t="s">
        <v>329</v>
      </c>
      <c r="D164" s="578"/>
      <c r="E164" s="578"/>
      <c r="F164" s="578">
        <v>79500</v>
      </c>
      <c r="G164" s="578"/>
      <c r="H164" s="578">
        <f t="shared" si="15"/>
        <v>79500</v>
      </c>
      <c r="I164" s="578">
        <v>142500</v>
      </c>
      <c r="J164" s="578">
        <f t="shared" si="16"/>
        <v>142500</v>
      </c>
      <c r="K164" s="878"/>
      <c r="L164" s="578">
        <f t="shared" si="17"/>
        <v>63000</v>
      </c>
      <c r="M164" s="878">
        <f t="shared" si="19"/>
        <v>0.79245283018867929</v>
      </c>
    </row>
    <row r="165" spans="1:13" s="6" customFormat="1" x14ac:dyDescent="0.2">
      <c r="A165" s="459"/>
      <c r="B165" s="459"/>
      <c r="C165" s="299"/>
      <c r="D165" s="691"/>
      <c r="E165" s="691"/>
      <c r="F165" s="691">
        <v>0</v>
      </c>
      <c r="G165" s="691"/>
      <c r="H165" s="691">
        <f t="shared" si="15"/>
        <v>0</v>
      </c>
      <c r="I165" s="691">
        <v>0</v>
      </c>
      <c r="J165" s="691">
        <f t="shared" si="16"/>
        <v>0</v>
      </c>
      <c r="K165" s="885"/>
      <c r="L165" s="691">
        <f t="shared" si="17"/>
        <v>0</v>
      </c>
      <c r="M165" s="885"/>
    </row>
    <row r="166" spans="1:13" s="6" customFormat="1" ht="25.5" x14ac:dyDescent="0.2">
      <c r="A166" s="459" t="s">
        <v>869</v>
      </c>
      <c r="B166" s="459" t="s">
        <v>792</v>
      </c>
      <c r="C166" s="342" t="s">
        <v>930</v>
      </c>
      <c r="D166" s="578"/>
      <c r="E166" s="578"/>
      <c r="F166" s="577">
        <v>147600</v>
      </c>
      <c r="G166" s="577"/>
      <c r="H166" s="577">
        <f t="shared" si="15"/>
        <v>147600</v>
      </c>
      <c r="I166" s="577">
        <v>67600</v>
      </c>
      <c r="J166" s="577">
        <f t="shared" si="16"/>
        <v>67600</v>
      </c>
      <c r="K166" s="757"/>
      <c r="L166" s="577">
        <f t="shared" si="17"/>
        <v>-80000</v>
      </c>
      <c r="M166" s="757">
        <f t="shared" si="19"/>
        <v>-0.54200542005420049</v>
      </c>
    </row>
    <row r="167" spans="1:13" s="6" customFormat="1" x14ac:dyDescent="0.2">
      <c r="A167" s="459"/>
      <c r="B167" s="459"/>
      <c r="C167" s="308" t="s">
        <v>119</v>
      </c>
      <c r="D167" s="231"/>
      <c r="E167" s="578"/>
      <c r="F167" s="578">
        <v>17937</v>
      </c>
      <c r="G167" s="578"/>
      <c r="H167" s="578">
        <f t="shared" si="15"/>
        <v>17937</v>
      </c>
      <c r="I167" s="578">
        <v>17937</v>
      </c>
      <c r="J167" s="578">
        <f t="shared" si="16"/>
        <v>17937</v>
      </c>
      <c r="K167" s="878"/>
      <c r="L167" s="578">
        <f t="shared" si="17"/>
        <v>0</v>
      </c>
      <c r="M167" s="878">
        <f t="shared" si="19"/>
        <v>0</v>
      </c>
    </row>
    <row r="168" spans="1:13" s="6" customFormat="1" x14ac:dyDescent="0.2">
      <c r="A168" s="459"/>
      <c r="B168" s="459"/>
      <c r="C168" s="36"/>
      <c r="D168" s="578"/>
      <c r="E168" s="578"/>
      <c r="F168" s="578">
        <v>0</v>
      </c>
      <c r="G168" s="578"/>
      <c r="H168" s="578">
        <f t="shared" si="15"/>
        <v>0</v>
      </c>
      <c r="I168" s="578">
        <v>0</v>
      </c>
      <c r="J168" s="578">
        <f t="shared" si="16"/>
        <v>0</v>
      </c>
      <c r="K168" s="878"/>
      <c r="L168" s="578">
        <f t="shared" si="17"/>
        <v>0</v>
      </c>
      <c r="M168" s="878"/>
    </row>
    <row r="169" spans="1:13" s="6" customFormat="1" x14ac:dyDescent="0.2">
      <c r="A169" s="459"/>
      <c r="B169" s="459"/>
      <c r="C169" s="299" t="s">
        <v>329</v>
      </c>
      <c r="D169" s="578"/>
      <c r="E169" s="578"/>
      <c r="F169" s="578">
        <v>147600</v>
      </c>
      <c r="G169" s="578"/>
      <c r="H169" s="578">
        <f t="shared" si="15"/>
        <v>147600</v>
      </c>
      <c r="I169" s="578">
        <v>67600</v>
      </c>
      <c r="J169" s="578">
        <f t="shared" si="16"/>
        <v>67600</v>
      </c>
      <c r="K169" s="878"/>
      <c r="L169" s="578">
        <f t="shared" si="17"/>
        <v>-80000</v>
      </c>
      <c r="M169" s="878">
        <f t="shared" si="19"/>
        <v>-0.54200542005420049</v>
      </c>
    </row>
    <row r="170" spans="1:13" s="6" customFormat="1" x14ac:dyDescent="0.2">
      <c r="A170" s="459"/>
      <c r="B170" s="459"/>
      <c r="C170" s="299"/>
      <c r="D170" s="578"/>
      <c r="E170" s="578"/>
      <c r="F170" s="578"/>
      <c r="G170" s="578"/>
      <c r="H170" s="578"/>
      <c r="I170" s="578">
        <v>0</v>
      </c>
      <c r="J170" s="578">
        <f t="shared" si="16"/>
        <v>0</v>
      </c>
      <c r="K170" s="878"/>
      <c r="L170" s="578">
        <f t="shared" si="17"/>
        <v>0</v>
      </c>
      <c r="M170" s="878"/>
    </row>
    <row r="171" spans="1:13" s="6" customFormat="1" ht="25.5" x14ac:dyDescent="0.2">
      <c r="A171" s="459" t="s">
        <v>874</v>
      </c>
      <c r="B171" s="459" t="s">
        <v>792</v>
      </c>
      <c r="C171" s="864" t="s">
        <v>1059</v>
      </c>
      <c r="D171" s="578"/>
      <c r="E171" s="578"/>
      <c r="F171" s="578"/>
      <c r="G171" s="578"/>
      <c r="H171" s="578"/>
      <c r="I171" s="578">
        <v>88751</v>
      </c>
      <c r="J171" s="578">
        <f t="shared" si="16"/>
        <v>88751</v>
      </c>
      <c r="K171" s="878"/>
      <c r="L171" s="578">
        <f t="shared" si="17"/>
        <v>88751</v>
      </c>
      <c r="M171" s="878"/>
    </row>
    <row r="172" spans="1:13" s="6" customFormat="1" x14ac:dyDescent="0.2">
      <c r="A172" s="459"/>
      <c r="B172" s="459"/>
      <c r="C172" s="17"/>
      <c r="D172" s="578"/>
      <c r="E172" s="578"/>
      <c r="F172" s="578"/>
      <c r="G172" s="578"/>
      <c r="H172" s="578"/>
      <c r="I172" s="578">
        <v>0</v>
      </c>
      <c r="J172" s="578">
        <f t="shared" si="16"/>
        <v>0</v>
      </c>
      <c r="K172" s="878"/>
      <c r="L172" s="578">
        <f t="shared" si="17"/>
        <v>0</v>
      </c>
      <c r="M172" s="878"/>
    </row>
    <row r="173" spans="1:13" s="6" customFormat="1" x14ac:dyDescent="0.2">
      <c r="A173" s="459"/>
      <c r="B173" s="459"/>
      <c r="C173" s="696" t="s">
        <v>329</v>
      </c>
      <c r="D173" s="578"/>
      <c r="E173" s="578"/>
      <c r="F173" s="578"/>
      <c r="G173" s="578"/>
      <c r="H173" s="578"/>
      <c r="I173" s="578">
        <v>74813</v>
      </c>
      <c r="J173" s="578">
        <f t="shared" si="16"/>
        <v>74813</v>
      </c>
      <c r="K173" s="878"/>
      <c r="L173" s="578">
        <f t="shared" si="17"/>
        <v>74813</v>
      </c>
      <c r="M173" s="878"/>
    </row>
    <row r="174" spans="1:13" s="6" customFormat="1" x14ac:dyDescent="0.2">
      <c r="A174" s="459"/>
      <c r="B174" s="459"/>
      <c r="C174" s="299"/>
      <c r="D174" s="691"/>
      <c r="E174" s="691"/>
      <c r="F174" s="691">
        <v>0</v>
      </c>
      <c r="G174" s="691"/>
      <c r="H174" s="691">
        <f t="shared" si="15"/>
        <v>0</v>
      </c>
      <c r="I174" s="691">
        <v>0</v>
      </c>
      <c r="J174" s="691">
        <f t="shared" si="16"/>
        <v>0</v>
      </c>
      <c r="K174" s="885"/>
      <c r="L174" s="691">
        <f t="shared" si="17"/>
        <v>0</v>
      </c>
      <c r="M174" s="885"/>
    </row>
    <row r="175" spans="1:13" s="6" customFormat="1" ht="15" x14ac:dyDescent="0.2">
      <c r="A175" s="459" t="s">
        <v>868</v>
      </c>
      <c r="B175" s="459" t="s">
        <v>792</v>
      </c>
      <c r="C175" s="692" t="s">
        <v>253</v>
      </c>
      <c r="D175" s="693">
        <f>D176+D192+D225</f>
        <v>1157825</v>
      </c>
      <c r="E175" s="693"/>
      <c r="F175" s="693">
        <f>F176+F192+F225</f>
        <v>-30000</v>
      </c>
      <c r="G175" s="693">
        <f>G176+G192+G226</f>
        <v>-1850</v>
      </c>
      <c r="H175" s="693">
        <f t="shared" si="15"/>
        <v>1125975</v>
      </c>
      <c r="I175" s="693">
        <v>1123860</v>
      </c>
      <c r="J175" s="693">
        <f t="shared" si="16"/>
        <v>-33965</v>
      </c>
      <c r="K175" s="886">
        <f t="shared" si="18"/>
        <v>-2.9335175868546629E-2</v>
      </c>
      <c r="L175" s="693">
        <f t="shared" si="17"/>
        <v>-2115</v>
      </c>
      <c r="M175" s="886">
        <f t="shared" si="19"/>
        <v>-1.8783720775328049E-3</v>
      </c>
    </row>
    <row r="176" spans="1:13" s="6" customFormat="1" x14ac:dyDescent="0.2">
      <c r="A176" s="459"/>
      <c r="B176" s="459"/>
      <c r="C176" s="694" t="s">
        <v>254</v>
      </c>
      <c r="D176" s="570">
        <f>D179+D184</f>
        <v>467281</v>
      </c>
      <c r="E176" s="570"/>
      <c r="F176" s="570">
        <f>F179+F184</f>
        <v>-30000</v>
      </c>
      <c r="G176" s="570">
        <f>G179+G184</f>
        <v>-2500</v>
      </c>
      <c r="H176" s="570">
        <f t="shared" si="15"/>
        <v>434781</v>
      </c>
      <c r="I176" s="570">
        <v>486400</v>
      </c>
      <c r="J176" s="570">
        <f t="shared" si="16"/>
        <v>19119</v>
      </c>
      <c r="K176" s="816">
        <f t="shared" si="18"/>
        <v>4.0915423481802167E-2</v>
      </c>
      <c r="L176" s="570">
        <f t="shared" si="17"/>
        <v>51619</v>
      </c>
      <c r="M176" s="816">
        <f t="shared" si="19"/>
        <v>0.11872413927931533</v>
      </c>
    </row>
    <row r="177" spans="1:13" s="6" customFormat="1" x14ac:dyDescent="0.2">
      <c r="A177" s="459"/>
      <c r="B177" s="459"/>
      <c r="C177" s="575" t="s">
        <v>119</v>
      </c>
      <c r="D177" s="567">
        <f>D187+D200</f>
        <v>1490</v>
      </c>
      <c r="E177" s="567"/>
      <c r="F177" s="567">
        <v>0</v>
      </c>
      <c r="G177" s="567"/>
      <c r="H177" s="567">
        <f t="shared" si="15"/>
        <v>1490</v>
      </c>
      <c r="I177" s="567">
        <v>660</v>
      </c>
      <c r="J177" s="567">
        <f t="shared" si="16"/>
        <v>-830</v>
      </c>
      <c r="K177" s="878">
        <f t="shared" si="18"/>
        <v>-0.55704697986577179</v>
      </c>
      <c r="L177" s="567">
        <f t="shared" si="17"/>
        <v>-830</v>
      </c>
      <c r="M177" s="878">
        <f t="shared" si="19"/>
        <v>-0.55704697986577179</v>
      </c>
    </row>
    <row r="178" spans="1:13" s="6" customFormat="1" x14ac:dyDescent="0.2">
      <c r="A178" s="459"/>
      <c r="B178" s="459"/>
      <c r="C178" s="695" t="s">
        <v>196</v>
      </c>
      <c r="D178" s="566"/>
      <c r="E178" s="566"/>
      <c r="F178" s="566">
        <v>0</v>
      </c>
      <c r="G178" s="566"/>
      <c r="H178" s="566">
        <f t="shared" si="15"/>
        <v>0</v>
      </c>
      <c r="I178" s="566">
        <v>0</v>
      </c>
      <c r="J178" s="566">
        <f t="shared" si="16"/>
        <v>0</v>
      </c>
      <c r="K178" s="816"/>
      <c r="L178" s="566">
        <f t="shared" si="17"/>
        <v>0</v>
      </c>
      <c r="M178" s="816"/>
    </row>
    <row r="179" spans="1:13" s="6" customFormat="1" ht="14.25" x14ac:dyDescent="0.2">
      <c r="A179" s="459"/>
      <c r="B179" s="459"/>
      <c r="C179" s="106" t="s">
        <v>1087</v>
      </c>
      <c r="D179" s="194">
        <v>274431</v>
      </c>
      <c r="E179" s="194"/>
      <c r="F179" s="194">
        <v>-10000</v>
      </c>
      <c r="G179" s="194">
        <v>-2500</v>
      </c>
      <c r="H179" s="194">
        <f t="shared" si="15"/>
        <v>261931</v>
      </c>
      <c r="I179" s="194">
        <v>269400</v>
      </c>
      <c r="J179" s="194">
        <f t="shared" si="16"/>
        <v>-5031</v>
      </c>
      <c r="K179" s="887">
        <f t="shared" si="18"/>
        <v>-1.8332477016080546E-2</v>
      </c>
      <c r="L179" s="194">
        <f t="shared" si="17"/>
        <v>7469</v>
      </c>
      <c r="M179" s="887">
        <f t="shared" si="19"/>
        <v>2.8515143301098382E-2</v>
      </c>
    </row>
    <row r="180" spans="1:13" s="6" customFormat="1" x14ac:dyDescent="0.2">
      <c r="A180" s="459"/>
      <c r="B180" s="459"/>
      <c r="C180" s="106"/>
      <c r="D180" s="194"/>
      <c r="E180" s="194"/>
      <c r="F180" s="194"/>
      <c r="G180" s="194"/>
      <c r="H180" s="194"/>
      <c r="I180" s="194"/>
      <c r="J180" s="194"/>
      <c r="K180" s="887"/>
      <c r="L180" s="194"/>
      <c r="M180" s="887"/>
    </row>
    <row r="181" spans="1:13" s="6" customFormat="1" ht="13.5" x14ac:dyDescent="0.2">
      <c r="A181" s="459"/>
      <c r="B181" s="459"/>
      <c r="C181" s="981" t="s">
        <v>1106</v>
      </c>
      <c r="D181" s="663"/>
      <c r="E181" s="518"/>
      <c r="F181" s="236">
        <v>50000</v>
      </c>
      <c r="G181" s="236"/>
      <c r="H181" s="236">
        <f t="shared" si="15"/>
        <v>50000</v>
      </c>
      <c r="I181" s="236">
        <v>50000</v>
      </c>
      <c r="J181" s="236">
        <f t="shared" si="16"/>
        <v>50000</v>
      </c>
      <c r="K181" s="888"/>
      <c r="L181" s="236">
        <f t="shared" si="17"/>
        <v>0</v>
      </c>
      <c r="M181" s="888">
        <f t="shared" si="19"/>
        <v>0</v>
      </c>
    </row>
    <row r="182" spans="1:13" s="6" customFormat="1" x14ac:dyDescent="0.2">
      <c r="A182" s="459"/>
      <c r="B182" s="459"/>
      <c r="C182" s="460"/>
      <c r="D182" s="461"/>
      <c r="E182" s="461"/>
      <c r="F182" s="461">
        <v>0</v>
      </c>
      <c r="G182" s="461"/>
      <c r="H182" s="461">
        <f t="shared" si="15"/>
        <v>0</v>
      </c>
      <c r="I182" s="461">
        <v>0</v>
      </c>
      <c r="J182" s="461">
        <f t="shared" si="16"/>
        <v>0</v>
      </c>
      <c r="K182" s="889"/>
      <c r="L182" s="461">
        <f t="shared" si="17"/>
        <v>0</v>
      </c>
      <c r="M182" s="889"/>
    </row>
    <row r="183" spans="1:13" s="6" customFormat="1" x14ac:dyDescent="0.2">
      <c r="A183" s="459"/>
      <c r="B183" s="459"/>
      <c r="C183" s="695" t="s">
        <v>196</v>
      </c>
      <c r="D183" s="566"/>
      <c r="E183" s="566"/>
      <c r="F183" s="566">
        <v>0</v>
      </c>
      <c r="G183" s="566"/>
      <c r="H183" s="566">
        <f t="shared" si="15"/>
        <v>0</v>
      </c>
      <c r="I183" s="566">
        <v>0</v>
      </c>
      <c r="J183" s="566">
        <f t="shared" si="16"/>
        <v>0</v>
      </c>
      <c r="K183" s="816"/>
      <c r="L183" s="566">
        <f t="shared" si="17"/>
        <v>0</v>
      </c>
      <c r="M183" s="816"/>
    </row>
    <row r="184" spans="1:13" s="6" customFormat="1" ht="14.25" x14ac:dyDescent="0.2">
      <c r="A184" s="459"/>
      <c r="B184" s="459"/>
      <c r="C184" s="106" t="s">
        <v>1088</v>
      </c>
      <c r="D184" s="194">
        <v>192850</v>
      </c>
      <c r="E184" s="194"/>
      <c r="F184" s="194">
        <v>-20000</v>
      </c>
      <c r="G184" s="194"/>
      <c r="H184" s="194">
        <f t="shared" si="15"/>
        <v>172850</v>
      </c>
      <c r="I184" s="194">
        <v>200000</v>
      </c>
      <c r="J184" s="194">
        <f t="shared" si="16"/>
        <v>7150</v>
      </c>
      <c r="K184" s="887">
        <f t="shared" si="18"/>
        <v>3.707544723878662E-2</v>
      </c>
      <c r="L184" s="194">
        <f t="shared" si="17"/>
        <v>27150</v>
      </c>
      <c r="M184" s="887">
        <f t="shared" si="19"/>
        <v>0.15707260630604569</v>
      </c>
    </row>
    <row r="185" spans="1:13" s="6" customFormat="1" x14ac:dyDescent="0.2">
      <c r="A185" s="459"/>
      <c r="B185" s="459"/>
      <c r="C185" s="106"/>
      <c r="D185" s="194"/>
      <c r="E185" s="194"/>
      <c r="F185" s="194"/>
      <c r="G185" s="194"/>
      <c r="H185" s="194"/>
      <c r="I185" s="194"/>
      <c r="J185" s="194"/>
      <c r="K185" s="887"/>
      <c r="L185" s="194"/>
      <c r="M185" s="887"/>
    </row>
    <row r="186" spans="1:13" s="6" customFormat="1" ht="13.5" x14ac:dyDescent="0.2">
      <c r="A186" s="459"/>
      <c r="B186" s="459"/>
      <c r="C186" s="981" t="s">
        <v>1107</v>
      </c>
      <c r="D186" s="194"/>
      <c r="E186" s="194"/>
      <c r="F186" s="194"/>
      <c r="G186" s="194"/>
      <c r="H186" s="194"/>
      <c r="I186" s="236">
        <v>38840</v>
      </c>
      <c r="J186" s="194"/>
      <c r="K186" s="887"/>
      <c r="L186" s="194"/>
      <c r="M186" s="887"/>
    </row>
    <row r="187" spans="1:13" s="6" customFormat="1" x14ac:dyDescent="0.2">
      <c r="A187" s="459"/>
      <c r="B187" s="459"/>
      <c r="C187" s="106"/>
      <c r="D187" s="194"/>
      <c r="E187" s="194"/>
      <c r="F187" s="194"/>
      <c r="G187" s="194"/>
      <c r="H187" s="194">
        <f t="shared" si="15"/>
        <v>0</v>
      </c>
      <c r="I187" s="194">
        <v>0</v>
      </c>
      <c r="J187" s="194">
        <f t="shared" si="16"/>
        <v>0</v>
      </c>
      <c r="K187" s="887"/>
      <c r="L187" s="194">
        <f t="shared" si="17"/>
        <v>0</v>
      </c>
      <c r="M187" s="887"/>
    </row>
    <row r="188" spans="1:13" s="6" customFormat="1" x14ac:dyDescent="0.2">
      <c r="A188" s="459"/>
      <c r="B188" s="459"/>
      <c r="C188" s="695" t="s">
        <v>196</v>
      </c>
      <c r="D188" s="194"/>
      <c r="E188" s="194"/>
      <c r="F188" s="194"/>
      <c r="G188" s="194"/>
      <c r="H188" s="194">
        <f t="shared" si="15"/>
        <v>0</v>
      </c>
      <c r="I188" s="194">
        <v>0</v>
      </c>
      <c r="J188" s="194">
        <f t="shared" si="16"/>
        <v>0</v>
      </c>
      <c r="K188" s="887"/>
      <c r="L188" s="194">
        <f t="shared" si="17"/>
        <v>0</v>
      </c>
      <c r="M188" s="887"/>
    </row>
    <row r="189" spans="1:13" s="6" customFormat="1" x14ac:dyDescent="0.2">
      <c r="A189" s="459"/>
      <c r="B189" s="459"/>
      <c r="C189" s="106" t="s">
        <v>262</v>
      </c>
      <c r="D189" s="194"/>
      <c r="E189" s="194"/>
      <c r="F189" s="194"/>
      <c r="G189" s="194"/>
      <c r="H189" s="194">
        <f t="shared" si="15"/>
        <v>0</v>
      </c>
      <c r="I189" s="194">
        <v>17000</v>
      </c>
      <c r="J189" s="194">
        <f t="shared" si="16"/>
        <v>17000</v>
      </c>
      <c r="K189" s="887"/>
      <c r="L189" s="194">
        <f t="shared" si="17"/>
        <v>17000</v>
      </c>
      <c r="M189" s="887"/>
    </row>
    <row r="190" spans="1:13" s="6" customFormat="1" x14ac:dyDescent="0.2">
      <c r="A190" s="459"/>
      <c r="B190" s="459"/>
      <c r="C190" s="575" t="s">
        <v>119</v>
      </c>
      <c r="D190" s="567">
        <f>D197+D212</f>
        <v>0</v>
      </c>
      <c r="E190" s="567"/>
      <c r="F190" s="567">
        <v>0</v>
      </c>
      <c r="G190" s="567"/>
      <c r="H190" s="567">
        <f t="shared" si="15"/>
        <v>0</v>
      </c>
      <c r="I190" s="567">
        <v>660</v>
      </c>
      <c r="J190" s="567">
        <f t="shared" si="16"/>
        <v>660</v>
      </c>
      <c r="K190" s="878"/>
      <c r="L190" s="567">
        <f t="shared" si="17"/>
        <v>660</v>
      </c>
      <c r="M190" s="878"/>
    </row>
    <row r="191" spans="1:13" s="6" customFormat="1" x14ac:dyDescent="0.2">
      <c r="A191" s="459"/>
      <c r="B191" s="459"/>
      <c r="C191" s="376"/>
      <c r="D191" s="564"/>
      <c r="E191" s="564"/>
      <c r="F191" s="564">
        <v>0</v>
      </c>
      <c r="G191" s="564"/>
      <c r="H191" s="564">
        <f t="shared" si="15"/>
        <v>0</v>
      </c>
      <c r="I191" s="564">
        <v>0</v>
      </c>
      <c r="J191" s="564">
        <f t="shared" si="16"/>
        <v>0</v>
      </c>
      <c r="K191" s="890"/>
      <c r="L191" s="564">
        <f t="shared" si="17"/>
        <v>0</v>
      </c>
      <c r="M191" s="890"/>
    </row>
    <row r="192" spans="1:13" s="6" customFormat="1" x14ac:dyDescent="0.2">
      <c r="A192" s="459"/>
      <c r="B192" s="459"/>
      <c r="C192" s="694" t="s">
        <v>255</v>
      </c>
      <c r="D192" s="570">
        <f>D199+D203+D210+D213+D220+D223</f>
        <v>681000</v>
      </c>
      <c r="E192" s="570"/>
      <c r="F192" s="570">
        <v>0</v>
      </c>
      <c r="G192" s="570">
        <f>G199+G203+G24+G210+G213+G223</f>
        <v>650</v>
      </c>
      <c r="H192" s="570">
        <f t="shared" si="15"/>
        <v>681650</v>
      </c>
      <c r="I192" s="570">
        <v>637460</v>
      </c>
      <c r="J192" s="570">
        <f t="shared" si="16"/>
        <v>-43540</v>
      </c>
      <c r="K192" s="816">
        <f t="shared" si="18"/>
        <v>-6.3935389133627021E-2</v>
      </c>
      <c r="L192" s="570">
        <f t="shared" si="17"/>
        <v>-44190</v>
      </c>
      <c r="M192" s="816">
        <f t="shared" si="19"/>
        <v>-6.4827990904423094E-2</v>
      </c>
    </row>
    <row r="193" spans="1:13" s="6" customFormat="1" x14ac:dyDescent="0.2">
      <c r="A193" s="459"/>
      <c r="B193" s="459"/>
      <c r="C193" s="731" t="s">
        <v>119</v>
      </c>
      <c r="D193" s="728">
        <f>D200+D214</f>
        <v>8220</v>
      </c>
      <c r="E193" s="567"/>
      <c r="F193" s="567">
        <v>0</v>
      </c>
      <c r="G193" s="567">
        <f>G200+G215</f>
        <v>0</v>
      </c>
      <c r="H193" s="567">
        <f t="shared" si="15"/>
        <v>8220</v>
      </c>
      <c r="I193" s="567">
        <v>6730</v>
      </c>
      <c r="J193" s="567">
        <f t="shared" si="16"/>
        <v>-1490</v>
      </c>
      <c r="K193" s="878">
        <f t="shared" si="18"/>
        <v>-0.18126520681265207</v>
      </c>
      <c r="L193" s="567">
        <f t="shared" si="17"/>
        <v>-1490</v>
      </c>
      <c r="M193" s="878">
        <f t="shared" si="19"/>
        <v>-0.18126520681265207</v>
      </c>
    </row>
    <row r="194" spans="1:13" s="6" customFormat="1" x14ac:dyDescent="0.2">
      <c r="A194" s="459"/>
      <c r="B194" s="459"/>
      <c r="C194" s="575"/>
      <c r="D194" s="567"/>
      <c r="E194" s="567"/>
      <c r="F194" s="567"/>
      <c r="G194" s="567"/>
      <c r="H194" s="567">
        <f t="shared" si="15"/>
        <v>0</v>
      </c>
      <c r="I194" s="567">
        <v>0</v>
      </c>
      <c r="J194" s="567">
        <f t="shared" si="16"/>
        <v>0</v>
      </c>
      <c r="K194" s="878"/>
      <c r="L194" s="567">
        <f t="shared" si="17"/>
        <v>0</v>
      </c>
      <c r="M194" s="878"/>
    </row>
    <row r="195" spans="1:13" s="6" customFormat="1" x14ac:dyDescent="0.2">
      <c r="A195" s="459"/>
      <c r="B195" s="459"/>
      <c r="C195" s="695" t="s">
        <v>196</v>
      </c>
      <c r="D195" s="567"/>
      <c r="E195" s="567"/>
      <c r="F195" s="567"/>
      <c r="G195" s="567"/>
      <c r="H195" s="567">
        <f t="shared" si="15"/>
        <v>0</v>
      </c>
      <c r="I195" s="567">
        <v>0</v>
      </c>
      <c r="J195" s="567">
        <f t="shared" si="16"/>
        <v>0</v>
      </c>
      <c r="K195" s="878"/>
      <c r="L195" s="567">
        <f t="shared" si="17"/>
        <v>0</v>
      </c>
      <c r="M195" s="878"/>
    </row>
    <row r="196" spans="1:13" s="6" customFormat="1" x14ac:dyDescent="0.2">
      <c r="A196" s="459"/>
      <c r="B196" s="459"/>
      <c r="C196" s="106" t="s">
        <v>1001</v>
      </c>
      <c r="D196" s="567"/>
      <c r="E196" s="567"/>
      <c r="F196" s="567"/>
      <c r="G196" s="567"/>
      <c r="H196" s="567">
        <f t="shared" si="15"/>
        <v>0</v>
      </c>
      <c r="I196" s="567">
        <v>352460</v>
      </c>
      <c r="J196" s="567">
        <f t="shared" si="16"/>
        <v>352460</v>
      </c>
      <c r="K196" s="878"/>
      <c r="L196" s="567">
        <f t="shared" si="17"/>
        <v>352460</v>
      </c>
      <c r="M196" s="878"/>
    </row>
    <row r="197" spans="1:13" s="6" customFormat="1" x14ac:dyDescent="0.2">
      <c r="A197" s="459"/>
      <c r="B197" s="459"/>
      <c r="C197" s="98"/>
      <c r="D197" s="567"/>
      <c r="E197" s="567"/>
      <c r="F197" s="567"/>
      <c r="G197" s="567"/>
      <c r="H197" s="567">
        <f t="shared" si="15"/>
        <v>0</v>
      </c>
      <c r="I197" s="567">
        <v>0</v>
      </c>
      <c r="J197" s="567">
        <f t="shared" si="16"/>
        <v>0</v>
      </c>
      <c r="K197" s="878"/>
      <c r="L197" s="567">
        <f t="shared" si="17"/>
        <v>0</v>
      </c>
      <c r="M197" s="878"/>
    </row>
    <row r="198" spans="1:13" s="6" customFormat="1" x14ac:dyDescent="0.2">
      <c r="A198" s="459"/>
      <c r="B198" s="459"/>
      <c r="C198" s="695" t="s">
        <v>196</v>
      </c>
      <c r="D198" s="566"/>
      <c r="E198" s="566"/>
      <c r="F198" s="566">
        <v>0</v>
      </c>
      <c r="G198" s="566"/>
      <c r="H198" s="566">
        <f t="shared" si="15"/>
        <v>0</v>
      </c>
      <c r="I198" s="566">
        <v>0</v>
      </c>
      <c r="J198" s="566">
        <f t="shared" si="16"/>
        <v>0</v>
      </c>
      <c r="K198" s="816"/>
      <c r="L198" s="566">
        <f t="shared" si="17"/>
        <v>0</v>
      </c>
      <c r="M198" s="816"/>
    </row>
    <row r="199" spans="1:13" s="6" customFormat="1" x14ac:dyDescent="0.2">
      <c r="A199" s="459"/>
      <c r="B199" s="459"/>
      <c r="C199" s="106" t="s">
        <v>256</v>
      </c>
      <c r="D199" s="194">
        <v>49000</v>
      </c>
      <c r="E199" s="194"/>
      <c r="F199" s="194">
        <v>0</v>
      </c>
      <c r="G199" s="194">
        <v>-38000</v>
      </c>
      <c r="H199" s="194">
        <f t="shared" si="15"/>
        <v>11000</v>
      </c>
      <c r="I199" s="194">
        <v>0</v>
      </c>
      <c r="J199" s="194">
        <f t="shared" si="16"/>
        <v>-49000</v>
      </c>
      <c r="K199" s="887">
        <f t="shared" si="18"/>
        <v>-1</v>
      </c>
      <c r="L199" s="194">
        <f t="shared" si="17"/>
        <v>-11000</v>
      </c>
      <c r="M199" s="887">
        <f t="shared" si="19"/>
        <v>-1</v>
      </c>
    </row>
    <row r="200" spans="1:13" s="6" customFormat="1" x14ac:dyDescent="0.2">
      <c r="A200" s="459"/>
      <c r="B200" s="459"/>
      <c r="C200" s="731" t="s">
        <v>119</v>
      </c>
      <c r="D200" s="236">
        <v>1490</v>
      </c>
      <c r="E200" s="236"/>
      <c r="F200" s="236">
        <v>0</v>
      </c>
      <c r="G200" s="236"/>
      <c r="H200" s="236">
        <f t="shared" si="15"/>
        <v>1490</v>
      </c>
      <c r="I200" s="236">
        <v>0</v>
      </c>
      <c r="J200" s="236">
        <f t="shared" si="16"/>
        <v>-1490</v>
      </c>
      <c r="K200" s="888">
        <f t="shared" si="18"/>
        <v>-1</v>
      </c>
      <c r="L200" s="236">
        <f t="shared" si="17"/>
        <v>-1490</v>
      </c>
      <c r="M200" s="888">
        <f t="shared" si="19"/>
        <v>-1</v>
      </c>
    </row>
    <row r="201" spans="1:13" s="6" customFormat="1" x14ac:dyDescent="0.2">
      <c r="A201" s="459"/>
      <c r="B201" s="459"/>
      <c r="C201" s="696"/>
      <c r="D201" s="568"/>
      <c r="E201" s="568"/>
      <c r="F201" s="568">
        <v>0</v>
      </c>
      <c r="G201" s="568"/>
      <c r="H201" s="568">
        <f t="shared" si="15"/>
        <v>0</v>
      </c>
      <c r="I201" s="568">
        <v>0</v>
      </c>
      <c r="J201" s="568">
        <f t="shared" si="16"/>
        <v>0</v>
      </c>
      <c r="K201" s="882"/>
      <c r="L201" s="568">
        <f t="shared" si="17"/>
        <v>0</v>
      </c>
      <c r="M201" s="882"/>
    </row>
    <row r="202" spans="1:13" s="6" customFormat="1" x14ac:dyDescent="0.2">
      <c r="A202" s="459"/>
      <c r="B202" s="459"/>
      <c r="C202" s="695" t="s">
        <v>196</v>
      </c>
      <c r="D202" s="566"/>
      <c r="E202" s="566"/>
      <c r="F202" s="566">
        <v>0</v>
      </c>
      <c r="G202" s="566"/>
      <c r="H202" s="566">
        <f t="shared" si="15"/>
        <v>0</v>
      </c>
      <c r="I202" s="566">
        <v>0</v>
      </c>
      <c r="J202" s="566">
        <f t="shared" si="16"/>
        <v>0</v>
      </c>
      <c r="K202" s="816"/>
      <c r="L202" s="566">
        <f t="shared" si="17"/>
        <v>0</v>
      </c>
      <c r="M202" s="816"/>
    </row>
    <row r="203" spans="1:13" s="6" customFormat="1" x14ac:dyDescent="0.2">
      <c r="A203" s="459"/>
      <c r="B203" s="459"/>
      <c r="C203" s="106" t="s">
        <v>257</v>
      </c>
      <c r="D203" s="194">
        <f>110000+100000</f>
        <v>210000</v>
      </c>
      <c r="E203" s="194"/>
      <c r="F203" s="194">
        <v>0</v>
      </c>
      <c r="G203" s="194">
        <v>-30000</v>
      </c>
      <c r="H203" s="194">
        <f t="shared" si="15"/>
        <v>180000</v>
      </c>
      <c r="I203" s="194">
        <v>0</v>
      </c>
      <c r="J203" s="194">
        <f t="shared" si="16"/>
        <v>-210000</v>
      </c>
      <c r="K203" s="887">
        <f t="shared" si="18"/>
        <v>-1</v>
      </c>
      <c r="L203" s="194">
        <f t="shared" si="17"/>
        <v>-180000</v>
      </c>
      <c r="M203" s="887">
        <f t="shared" si="19"/>
        <v>-1</v>
      </c>
    </row>
    <row r="204" spans="1:13" s="6" customFormat="1" x14ac:dyDescent="0.2">
      <c r="A204" s="459"/>
      <c r="B204" s="459"/>
      <c r="C204" s="106"/>
      <c r="D204" s="194"/>
      <c r="E204" s="194"/>
      <c r="F204" s="194"/>
      <c r="G204" s="194"/>
      <c r="H204" s="194"/>
      <c r="I204" s="194"/>
      <c r="J204" s="194"/>
      <c r="K204" s="887"/>
      <c r="L204" s="194"/>
      <c r="M204" s="887"/>
    </row>
    <row r="205" spans="1:13" s="6" customFormat="1" x14ac:dyDescent="0.2">
      <c r="A205" s="459"/>
      <c r="B205" s="459"/>
      <c r="C205" s="695" t="s">
        <v>196</v>
      </c>
      <c r="D205" s="194"/>
      <c r="E205" s="194"/>
      <c r="F205" s="194"/>
      <c r="G205" s="194"/>
      <c r="H205" s="194">
        <f t="shared" si="15"/>
        <v>0</v>
      </c>
      <c r="I205" s="194">
        <v>0</v>
      </c>
      <c r="J205" s="194">
        <f t="shared" si="16"/>
        <v>0</v>
      </c>
      <c r="K205" s="887"/>
      <c r="L205" s="194">
        <f t="shared" si="17"/>
        <v>0</v>
      </c>
      <c r="M205" s="887"/>
    </row>
    <row r="206" spans="1:13" s="6" customFormat="1" x14ac:dyDescent="0.2">
      <c r="A206" s="459"/>
      <c r="B206" s="459"/>
      <c r="C206" s="106" t="s">
        <v>1002</v>
      </c>
      <c r="D206" s="194"/>
      <c r="E206" s="194"/>
      <c r="F206" s="194"/>
      <c r="G206" s="194"/>
      <c r="H206" s="194">
        <f t="shared" si="15"/>
        <v>0</v>
      </c>
      <c r="I206" s="194">
        <v>172000</v>
      </c>
      <c r="J206" s="194">
        <f t="shared" si="16"/>
        <v>172000</v>
      </c>
      <c r="K206" s="887"/>
      <c r="L206" s="194">
        <f t="shared" si="17"/>
        <v>172000</v>
      </c>
      <c r="M206" s="887"/>
    </row>
    <row r="207" spans="1:13" s="6" customFormat="1" x14ac:dyDescent="0.2">
      <c r="A207" s="459"/>
      <c r="B207" s="459"/>
      <c r="C207" s="731" t="s">
        <v>119</v>
      </c>
      <c r="D207" s="567"/>
      <c r="E207" s="567"/>
      <c r="F207" s="567">
        <v>0</v>
      </c>
      <c r="G207" s="194"/>
      <c r="H207" s="194">
        <f t="shared" si="15"/>
        <v>0</v>
      </c>
      <c r="I207" s="194">
        <v>6730</v>
      </c>
      <c r="J207" s="194">
        <f t="shared" si="16"/>
        <v>6730</v>
      </c>
      <c r="K207" s="887"/>
      <c r="L207" s="194">
        <f t="shared" si="17"/>
        <v>6730</v>
      </c>
      <c r="M207" s="887"/>
    </row>
    <row r="208" spans="1:13" s="6" customFormat="1" x14ac:dyDescent="0.2">
      <c r="A208" s="459"/>
      <c r="B208" s="459"/>
      <c r="C208" s="98"/>
      <c r="D208" s="567"/>
      <c r="E208" s="567"/>
      <c r="F208" s="567">
        <v>0</v>
      </c>
      <c r="G208" s="567"/>
      <c r="H208" s="567">
        <f t="shared" si="15"/>
        <v>0</v>
      </c>
      <c r="I208" s="567">
        <v>0</v>
      </c>
      <c r="J208" s="567">
        <f t="shared" si="16"/>
        <v>0</v>
      </c>
      <c r="K208" s="878"/>
      <c r="L208" s="567">
        <f t="shared" si="17"/>
        <v>0</v>
      </c>
      <c r="M208" s="878"/>
    </row>
    <row r="209" spans="1:13" s="6" customFormat="1" x14ac:dyDescent="0.2">
      <c r="A209" s="459"/>
      <c r="B209" s="459"/>
      <c r="C209" s="695" t="s">
        <v>196</v>
      </c>
      <c r="D209" s="566"/>
      <c r="E209" s="566"/>
      <c r="F209" s="566">
        <v>0</v>
      </c>
      <c r="G209" s="567"/>
      <c r="H209" s="567">
        <f t="shared" si="15"/>
        <v>0</v>
      </c>
      <c r="I209" s="567">
        <v>0</v>
      </c>
      <c r="J209" s="567">
        <f t="shared" si="16"/>
        <v>0</v>
      </c>
      <c r="K209" s="878"/>
      <c r="L209" s="567">
        <f t="shared" si="17"/>
        <v>0</v>
      </c>
      <c r="M209" s="878"/>
    </row>
    <row r="210" spans="1:13" s="6" customFormat="1" x14ac:dyDescent="0.2">
      <c r="A210" s="459"/>
      <c r="B210" s="459"/>
      <c r="C210" s="106" t="s">
        <v>258</v>
      </c>
      <c r="D210" s="194">
        <f>199000+100000</f>
        <v>299000</v>
      </c>
      <c r="E210" s="194"/>
      <c r="F210" s="194">
        <v>0</v>
      </c>
      <c r="G210" s="194">
        <v>103650</v>
      </c>
      <c r="H210" s="194">
        <f t="shared" si="15"/>
        <v>402650</v>
      </c>
      <c r="I210" s="194">
        <v>0</v>
      </c>
      <c r="J210" s="194">
        <f t="shared" si="16"/>
        <v>-299000</v>
      </c>
      <c r="K210" s="887">
        <f t="shared" si="18"/>
        <v>-1</v>
      </c>
      <c r="L210" s="194">
        <f t="shared" si="17"/>
        <v>-402650</v>
      </c>
      <c r="M210" s="887">
        <f t="shared" si="19"/>
        <v>-1</v>
      </c>
    </row>
    <row r="211" spans="1:13" s="6" customFormat="1" x14ac:dyDescent="0.2">
      <c r="A211" s="459"/>
      <c r="B211" s="459"/>
      <c r="C211" s="575"/>
      <c r="D211" s="567"/>
      <c r="E211" s="567"/>
      <c r="F211" s="567">
        <v>0</v>
      </c>
      <c r="G211" s="567"/>
      <c r="H211" s="567">
        <f t="shared" si="15"/>
        <v>0</v>
      </c>
      <c r="I211" s="567">
        <v>0</v>
      </c>
      <c r="J211" s="567">
        <f t="shared" si="16"/>
        <v>0</v>
      </c>
      <c r="K211" s="878"/>
      <c r="L211" s="567">
        <f t="shared" si="17"/>
        <v>0</v>
      </c>
      <c r="M211" s="878"/>
    </row>
    <row r="212" spans="1:13" s="6" customFormat="1" x14ac:dyDescent="0.2">
      <c r="A212" s="459"/>
      <c r="B212" s="459"/>
      <c r="C212" s="695" t="s">
        <v>196</v>
      </c>
      <c r="D212" s="566"/>
      <c r="E212" s="566"/>
      <c r="F212" s="566">
        <v>0</v>
      </c>
      <c r="G212" s="566"/>
      <c r="H212" s="566">
        <f t="shared" si="15"/>
        <v>0</v>
      </c>
      <c r="I212" s="566">
        <v>0</v>
      </c>
      <c r="J212" s="566">
        <f t="shared" si="16"/>
        <v>0</v>
      </c>
      <c r="K212" s="816"/>
      <c r="L212" s="566">
        <f t="shared" si="17"/>
        <v>0</v>
      </c>
      <c r="M212" s="816"/>
    </row>
    <row r="213" spans="1:13" s="6" customFormat="1" x14ac:dyDescent="0.2">
      <c r="A213" s="459"/>
      <c r="B213" s="459"/>
      <c r="C213" s="106" t="s">
        <v>259</v>
      </c>
      <c r="D213" s="194">
        <v>54000</v>
      </c>
      <c r="E213" s="194"/>
      <c r="F213" s="194">
        <v>0</v>
      </c>
      <c r="G213" s="194">
        <v>-27000</v>
      </c>
      <c r="H213" s="194">
        <f t="shared" si="15"/>
        <v>27000</v>
      </c>
      <c r="I213" s="194">
        <v>0</v>
      </c>
      <c r="J213" s="194">
        <f t="shared" si="16"/>
        <v>-54000</v>
      </c>
      <c r="K213" s="887">
        <f t="shared" si="18"/>
        <v>-1</v>
      </c>
      <c r="L213" s="194">
        <f t="shared" si="17"/>
        <v>-27000</v>
      </c>
      <c r="M213" s="887">
        <f t="shared" si="19"/>
        <v>-1</v>
      </c>
    </row>
    <row r="214" spans="1:13" s="6" customFormat="1" x14ac:dyDescent="0.2">
      <c r="A214" s="459"/>
      <c r="B214" s="459"/>
      <c r="C214" s="731" t="s">
        <v>119</v>
      </c>
      <c r="D214" s="728">
        <v>6730</v>
      </c>
      <c r="E214" s="567"/>
      <c r="F214" s="567">
        <v>0</v>
      </c>
      <c r="G214" s="567"/>
      <c r="H214" s="567">
        <f t="shared" si="15"/>
        <v>6730</v>
      </c>
      <c r="I214" s="567">
        <v>0</v>
      </c>
      <c r="J214" s="567">
        <f t="shared" si="16"/>
        <v>-6730</v>
      </c>
      <c r="K214" s="878">
        <f t="shared" si="18"/>
        <v>-1</v>
      </c>
      <c r="L214" s="567">
        <f t="shared" si="17"/>
        <v>-6730</v>
      </c>
      <c r="M214" s="878">
        <f t="shared" si="19"/>
        <v>-1</v>
      </c>
    </row>
    <row r="215" spans="1:13" s="6" customFormat="1" x14ac:dyDescent="0.2">
      <c r="A215" s="459"/>
      <c r="B215" s="459"/>
      <c r="C215" s="575"/>
      <c r="D215" s="567"/>
      <c r="E215" s="567"/>
      <c r="F215" s="567">
        <v>0</v>
      </c>
      <c r="G215" s="567"/>
      <c r="H215" s="567">
        <f t="shared" si="15"/>
        <v>0</v>
      </c>
      <c r="I215" s="567">
        <v>0</v>
      </c>
      <c r="J215" s="567">
        <f t="shared" si="16"/>
        <v>0</v>
      </c>
      <c r="K215" s="878"/>
      <c r="L215" s="567">
        <f t="shared" si="17"/>
        <v>0</v>
      </c>
      <c r="M215" s="878"/>
    </row>
    <row r="216" spans="1:13" s="6" customFormat="1" x14ac:dyDescent="0.2">
      <c r="A216" s="459"/>
      <c r="B216" s="459"/>
      <c r="C216" s="695" t="s">
        <v>196</v>
      </c>
      <c r="D216" s="567"/>
      <c r="E216" s="567"/>
      <c r="F216" s="567"/>
      <c r="G216" s="567"/>
      <c r="H216" s="567">
        <f t="shared" si="15"/>
        <v>0</v>
      </c>
      <c r="I216" s="567">
        <v>0</v>
      </c>
      <c r="J216" s="567">
        <f t="shared" si="16"/>
        <v>0</v>
      </c>
      <c r="K216" s="878"/>
      <c r="L216" s="567">
        <f t="shared" si="17"/>
        <v>0</v>
      </c>
      <c r="M216" s="878"/>
    </row>
    <row r="217" spans="1:13" s="6" customFormat="1" x14ac:dyDescent="0.2">
      <c r="A217" s="459"/>
      <c r="B217" s="459"/>
      <c r="C217" s="106" t="s">
        <v>1003</v>
      </c>
      <c r="D217" s="567"/>
      <c r="E217" s="567"/>
      <c r="F217" s="567"/>
      <c r="G217" s="567"/>
      <c r="H217" s="567">
        <f t="shared" si="15"/>
        <v>0</v>
      </c>
      <c r="I217" s="567">
        <v>113000</v>
      </c>
      <c r="J217" s="567">
        <f t="shared" si="16"/>
        <v>113000</v>
      </c>
      <c r="K217" s="878"/>
      <c r="L217" s="567">
        <f t="shared" si="17"/>
        <v>113000</v>
      </c>
      <c r="M217" s="878"/>
    </row>
    <row r="218" spans="1:13" s="6" customFormat="1" x14ac:dyDescent="0.2">
      <c r="A218" s="459"/>
      <c r="B218" s="459"/>
      <c r="C218" s="98"/>
      <c r="D218" s="567"/>
      <c r="E218" s="567"/>
      <c r="F218" s="567"/>
      <c r="G218" s="567"/>
      <c r="H218" s="567">
        <f t="shared" si="15"/>
        <v>0</v>
      </c>
      <c r="I218" s="567">
        <v>0</v>
      </c>
      <c r="J218" s="567">
        <f t="shared" si="16"/>
        <v>0</v>
      </c>
      <c r="K218" s="878"/>
      <c r="L218" s="567">
        <f t="shared" si="17"/>
        <v>0</v>
      </c>
      <c r="M218" s="878"/>
    </row>
    <row r="219" spans="1:13" s="6" customFormat="1" x14ac:dyDescent="0.2">
      <c r="A219" s="459"/>
      <c r="B219" s="459"/>
      <c r="C219" s="321" t="s">
        <v>196</v>
      </c>
      <c r="D219" s="566"/>
      <c r="E219" s="566"/>
      <c r="F219" s="566">
        <v>0</v>
      </c>
      <c r="G219" s="566"/>
      <c r="H219" s="566">
        <f t="shared" si="15"/>
        <v>0</v>
      </c>
      <c r="I219" s="566">
        <v>0</v>
      </c>
      <c r="J219" s="566">
        <f t="shared" si="16"/>
        <v>0</v>
      </c>
      <c r="K219" s="816"/>
      <c r="L219" s="566">
        <f t="shared" si="17"/>
        <v>0</v>
      </c>
      <c r="M219" s="816"/>
    </row>
    <row r="220" spans="1:13" s="6" customFormat="1" ht="25.5" x14ac:dyDescent="0.2">
      <c r="A220" s="459"/>
      <c r="B220" s="459"/>
      <c r="C220" s="106" t="s">
        <v>260</v>
      </c>
      <c r="D220" s="194">
        <v>20000</v>
      </c>
      <c r="E220" s="194"/>
      <c r="F220" s="194">
        <v>0</v>
      </c>
      <c r="G220" s="194"/>
      <c r="H220" s="194">
        <f t="shared" si="15"/>
        <v>20000</v>
      </c>
      <c r="I220" s="194">
        <v>0</v>
      </c>
      <c r="J220" s="194">
        <f t="shared" si="16"/>
        <v>-20000</v>
      </c>
      <c r="K220" s="887">
        <f t="shared" si="18"/>
        <v>-1</v>
      </c>
      <c r="L220" s="194">
        <f t="shared" si="17"/>
        <v>-20000</v>
      </c>
      <c r="M220" s="887">
        <f t="shared" si="19"/>
        <v>-1</v>
      </c>
    </row>
    <row r="221" spans="1:13" s="454" customFormat="1" x14ac:dyDescent="0.2">
      <c r="A221" s="724"/>
      <c r="B221" s="724"/>
      <c r="C221" s="376"/>
      <c r="D221" s="564"/>
      <c r="E221" s="564"/>
      <c r="F221" s="564">
        <v>0</v>
      </c>
      <c r="G221" s="564"/>
      <c r="H221" s="194">
        <f t="shared" si="15"/>
        <v>0</v>
      </c>
      <c r="I221" s="194">
        <v>0</v>
      </c>
      <c r="J221" s="194">
        <f t="shared" ref="J221:J283" si="20">I221-D221</f>
        <v>0</v>
      </c>
      <c r="K221" s="887"/>
      <c r="L221" s="194">
        <f t="shared" ref="L221:L283" si="21">I221-H221</f>
        <v>0</v>
      </c>
      <c r="M221" s="887"/>
    </row>
    <row r="222" spans="1:13" s="6" customFormat="1" x14ac:dyDescent="0.2">
      <c r="A222" s="459"/>
      <c r="B222" s="459"/>
      <c r="C222" s="321" t="s">
        <v>196</v>
      </c>
      <c r="D222" s="566"/>
      <c r="E222" s="566"/>
      <c r="F222" s="566">
        <v>0</v>
      </c>
      <c r="G222" s="566"/>
      <c r="H222" s="194">
        <f t="shared" si="15"/>
        <v>0</v>
      </c>
      <c r="I222" s="194">
        <v>0</v>
      </c>
      <c r="J222" s="194">
        <f t="shared" si="20"/>
        <v>0</v>
      </c>
      <c r="K222" s="887"/>
      <c r="L222" s="194">
        <f t="shared" si="21"/>
        <v>0</v>
      </c>
      <c r="M222" s="887"/>
    </row>
    <row r="223" spans="1:13" s="6" customFormat="1" x14ac:dyDescent="0.2">
      <c r="A223" s="459"/>
      <c r="B223" s="459"/>
      <c r="C223" s="106" t="s">
        <v>261</v>
      </c>
      <c r="D223" s="194">
        <v>49000</v>
      </c>
      <c r="E223" s="194"/>
      <c r="F223" s="194">
        <v>0</v>
      </c>
      <c r="G223" s="194">
        <v>-8000</v>
      </c>
      <c r="H223" s="194">
        <f t="shared" si="15"/>
        <v>41000</v>
      </c>
      <c r="I223" s="194">
        <v>0</v>
      </c>
      <c r="J223" s="194">
        <f t="shared" si="20"/>
        <v>-49000</v>
      </c>
      <c r="K223" s="887">
        <f t="shared" ref="K223:K283" si="22">J223/D223</f>
        <v>-1</v>
      </c>
      <c r="L223" s="194">
        <f t="shared" si="21"/>
        <v>-41000</v>
      </c>
      <c r="M223" s="887">
        <f t="shared" ref="M223:M283" si="23">L223/H223</f>
        <v>-1</v>
      </c>
    </row>
    <row r="224" spans="1:13" s="6" customFormat="1" x14ac:dyDescent="0.2">
      <c r="A224" s="459"/>
      <c r="B224" s="459"/>
      <c r="C224" s="377"/>
      <c r="D224" s="697"/>
      <c r="E224" s="697"/>
      <c r="F224" s="697">
        <v>0</v>
      </c>
      <c r="G224" s="194"/>
      <c r="H224" s="194">
        <f t="shared" si="15"/>
        <v>0</v>
      </c>
      <c r="I224" s="194">
        <v>0</v>
      </c>
      <c r="J224" s="194">
        <f t="shared" si="20"/>
        <v>0</v>
      </c>
      <c r="K224" s="887"/>
      <c r="L224" s="194">
        <f t="shared" si="21"/>
        <v>0</v>
      </c>
      <c r="M224" s="887"/>
    </row>
    <row r="225" spans="1:13" s="6" customFormat="1" x14ac:dyDescent="0.2">
      <c r="A225" s="459"/>
      <c r="B225" s="459"/>
      <c r="C225" s="112" t="s">
        <v>831</v>
      </c>
      <c r="D225" s="570">
        <f>D228</f>
        <v>9544</v>
      </c>
      <c r="E225" s="570"/>
      <c r="F225" s="570">
        <v>0</v>
      </c>
      <c r="G225" s="570"/>
      <c r="H225" s="570">
        <f t="shared" ref="H225:H288" si="24">D225+E225+F225+G225</f>
        <v>9544</v>
      </c>
      <c r="I225" s="570">
        <v>0</v>
      </c>
      <c r="J225" s="570">
        <f t="shared" si="20"/>
        <v>-9544</v>
      </c>
      <c r="K225" s="816">
        <f t="shared" si="22"/>
        <v>-1</v>
      </c>
      <c r="L225" s="570">
        <f t="shared" si="21"/>
        <v>-9544</v>
      </c>
      <c r="M225" s="816">
        <f t="shared" si="23"/>
        <v>-1</v>
      </c>
    </row>
    <row r="226" spans="1:13" s="6" customFormat="1" x14ac:dyDescent="0.2">
      <c r="A226" s="459"/>
      <c r="B226" s="459"/>
      <c r="C226" s="98" t="s">
        <v>119</v>
      </c>
      <c r="D226" s="728">
        <f>D229</f>
        <v>660</v>
      </c>
      <c r="E226" s="567"/>
      <c r="F226" s="567">
        <v>0</v>
      </c>
      <c r="G226" s="567"/>
      <c r="H226" s="567">
        <f t="shared" si="24"/>
        <v>660</v>
      </c>
      <c r="I226" s="567">
        <v>0</v>
      </c>
      <c r="J226" s="567">
        <f t="shared" si="20"/>
        <v>-660</v>
      </c>
      <c r="K226" s="878">
        <f t="shared" si="22"/>
        <v>-1</v>
      </c>
      <c r="L226" s="567">
        <f t="shared" si="21"/>
        <v>-660</v>
      </c>
      <c r="M226" s="878">
        <f t="shared" si="23"/>
        <v>-1</v>
      </c>
    </row>
    <row r="227" spans="1:13" s="6" customFormat="1" x14ac:dyDescent="0.2">
      <c r="A227" s="459"/>
      <c r="B227" s="459"/>
      <c r="C227" s="321" t="s">
        <v>196</v>
      </c>
      <c r="D227" s="566"/>
      <c r="E227" s="566"/>
      <c r="F227" s="566">
        <v>0</v>
      </c>
      <c r="G227" s="566"/>
      <c r="H227" s="566">
        <f t="shared" si="24"/>
        <v>0</v>
      </c>
      <c r="I227" s="566">
        <v>0</v>
      </c>
      <c r="J227" s="566">
        <f t="shared" si="20"/>
        <v>0</v>
      </c>
      <c r="K227" s="816"/>
      <c r="L227" s="566">
        <f t="shared" si="21"/>
        <v>0</v>
      </c>
      <c r="M227" s="816"/>
    </row>
    <row r="228" spans="1:13" s="6" customFormat="1" x14ac:dyDescent="0.2">
      <c r="A228" s="459"/>
      <c r="B228" s="459"/>
      <c r="C228" s="106" t="s">
        <v>262</v>
      </c>
      <c r="D228" s="194">
        <v>9544</v>
      </c>
      <c r="E228" s="194"/>
      <c r="F228" s="194">
        <v>0</v>
      </c>
      <c r="G228" s="194"/>
      <c r="H228" s="194">
        <f t="shared" si="24"/>
        <v>9544</v>
      </c>
      <c r="I228" s="194">
        <v>0</v>
      </c>
      <c r="J228" s="194">
        <f t="shared" si="20"/>
        <v>-9544</v>
      </c>
      <c r="K228" s="887">
        <f t="shared" si="22"/>
        <v>-1</v>
      </c>
      <c r="L228" s="194">
        <f t="shared" si="21"/>
        <v>-9544</v>
      </c>
      <c r="M228" s="887">
        <f t="shared" si="23"/>
        <v>-1</v>
      </c>
    </row>
    <row r="229" spans="1:13" s="6" customFormat="1" x14ac:dyDescent="0.2">
      <c r="A229" s="459"/>
      <c r="B229" s="459"/>
      <c r="C229" s="103" t="s">
        <v>119</v>
      </c>
      <c r="D229" s="728">
        <v>660</v>
      </c>
      <c r="E229" s="567"/>
      <c r="F229" s="567">
        <v>0</v>
      </c>
      <c r="G229" s="567"/>
      <c r="H229" s="567">
        <f t="shared" si="24"/>
        <v>660</v>
      </c>
      <c r="I229" s="567">
        <v>0</v>
      </c>
      <c r="J229" s="567">
        <f t="shared" si="20"/>
        <v>-660</v>
      </c>
      <c r="K229" s="878">
        <f t="shared" si="22"/>
        <v>-1</v>
      </c>
      <c r="L229" s="567">
        <f t="shared" si="21"/>
        <v>-660</v>
      </c>
      <c r="M229" s="878">
        <f t="shared" si="23"/>
        <v>-1</v>
      </c>
    </row>
    <row r="230" spans="1:13" s="65" customFormat="1" x14ac:dyDescent="0.2">
      <c r="C230" s="322"/>
      <c r="D230" s="715"/>
      <c r="E230" s="715"/>
      <c r="F230" s="715">
        <v>0</v>
      </c>
      <c r="G230" s="715"/>
      <c r="H230" s="715">
        <f t="shared" si="24"/>
        <v>0</v>
      </c>
      <c r="I230" s="715">
        <v>0</v>
      </c>
      <c r="J230" s="715">
        <f t="shared" si="20"/>
        <v>0</v>
      </c>
      <c r="K230" s="891"/>
      <c r="L230" s="715">
        <f t="shared" si="21"/>
        <v>0</v>
      </c>
      <c r="M230" s="891"/>
    </row>
    <row r="231" spans="1:13" s="6" customFormat="1" x14ac:dyDescent="0.2">
      <c r="A231" s="459"/>
      <c r="B231" s="459"/>
      <c r="C231" s="698" t="s">
        <v>801</v>
      </c>
      <c r="D231" s="699">
        <f>+D233+D239+D254+D256+D260+D262</f>
        <v>1595737</v>
      </c>
      <c r="E231" s="699"/>
      <c r="F231" s="699">
        <f>+F233+F239+F254+F256+F260+F262</f>
        <v>0</v>
      </c>
      <c r="G231" s="699"/>
      <c r="H231" s="699">
        <f t="shared" si="24"/>
        <v>1595737</v>
      </c>
      <c r="I231" s="699">
        <v>2172895</v>
      </c>
      <c r="J231" s="699">
        <f t="shared" si="20"/>
        <v>577158</v>
      </c>
      <c r="K231" s="892">
        <f t="shared" si="22"/>
        <v>0.36168742092211936</v>
      </c>
      <c r="L231" s="699">
        <f t="shared" si="21"/>
        <v>577158</v>
      </c>
      <c r="M231" s="892">
        <f t="shared" si="23"/>
        <v>0.36168742092211936</v>
      </c>
    </row>
    <row r="232" spans="1:13" s="6" customFormat="1" x14ac:dyDescent="0.2">
      <c r="A232" s="459"/>
      <c r="B232" s="459"/>
      <c r="C232" s="700"/>
      <c r="D232" s="701"/>
      <c r="E232" s="701"/>
      <c r="F232" s="701"/>
      <c r="G232" s="701"/>
      <c r="H232" s="701">
        <f t="shared" si="24"/>
        <v>0</v>
      </c>
      <c r="I232" s="701">
        <v>0</v>
      </c>
      <c r="J232" s="701">
        <f t="shared" si="20"/>
        <v>0</v>
      </c>
      <c r="K232" s="893"/>
      <c r="L232" s="701">
        <f t="shared" si="21"/>
        <v>0</v>
      </c>
      <c r="M232" s="893"/>
    </row>
    <row r="233" spans="1:13" s="6" customFormat="1" x14ac:dyDescent="0.2">
      <c r="A233" s="459" t="s">
        <v>868</v>
      </c>
      <c r="B233" s="459" t="s">
        <v>792</v>
      </c>
      <c r="C233" s="702" t="s">
        <v>1105</v>
      </c>
      <c r="D233" s="703">
        <f>SUM(D234:D237)</f>
        <v>250800</v>
      </c>
      <c r="E233" s="703"/>
      <c r="F233" s="703">
        <f>SUM(F234:F237)</f>
        <v>0</v>
      </c>
      <c r="G233" s="703">
        <f>SUM(G234:G237)</f>
        <v>0</v>
      </c>
      <c r="H233" s="703">
        <f t="shared" si="24"/>
        <v>250800</v>
      </c>
      <c r="I233" s="703">
        <v>260000</v>
      </c>
      <c r="J233" s="703">
        <f t="shared" si="20"/>
        <v>9200</v>
      </c>
      <c r="K233" s="894">
        <f t="shared" si="22"/>
        <v>3.6682615629984053E-2</v>
      </c>
      <c r="L233" s="703">
        <f t="shared" si="21"/>
        <v>9200</v>
      </c>
      <c r="M233" s="894">
        <f t="shared" si="23"/>
        <v>3.6682615629984053E-2</v>
      </c>
    </row>
    <row r="234" spans="1:13" s="6" customFormat="1" x14ac:dyDescent="0.2">
      <c r="A234" s="459"/>
      <c r="B234" s="459"/>
      <c r="C234" s="704" t="s">
        <v>265</v>
      </c>
      <c r="D234" s="705">
        <v>35000</v>
      </c>
      <c r="E234" s="705"/>
      <c r="F234" s="705">
        <v>0</v>
      </c>
      <c r="G234" s="705">
        <v>25000</v>
      </c>
      <c r="H234" s="705">
        <f t="shared" si="24"/>
        <v>60000</v>
      </c>
      <c r="I234" s="705">
        <v>45000</v>
      </c>
      <c r="J234" s="705">
        <f t="shared" si="20"/>
        <v>10000</v>
      </c>
      <c r="K234" s="895">
        <f t="shared" si="22"/>
        <v>0.2857142857142857</v>
      </c>
      <c r="L234" s="705">
        <f t="shared" si="21"/>
        <v>-15000</v>
      </c>
      <c r="M234" s="895">
        <f t="shared" si="23"/>
        <v>-0.25</v>
      </c>
    </row>
    <row r="235" spans="1:13" s="6" customFormat="1" x14ac:dyDescent="0.2">
      <c r="A235" s="459"/>
      <c r="B235" s="459"/>
      <c r="C235" s="704" t="s">
        <v>266</v>
      </c>
      <c r="D235" s="705">
        <v>60000</v>
      </c>
      <c r="E235" s="705"/>
      <c r="F235" s="705">
        <v>-30000</v>
      </c>
      <c r="G235" s="705">
        <v>-10000</v>
      </c>
      <c r="H235" s="705">
        <f t="shared" si="24"/>
        <v>20000</v>
      </c>
      <c r="I235" s="705">
        <v>60000</v>
      </c>
      <c r="J235" s="705">
        <f t="shared" si="20"/>
        <v>0</v>
      </c>
      <c r="K235" s="895">
        <f t="shared" si="22"/>
        <v>0</v>
      </c>
      <c r="L235" s="705">
        <f t="shared" si="21"/>
        <v>40000</v>
      </c>
      <c r="M235" s="895">
        <f t="shared" si="23"/>
        <v>2</v>
      </c>
    </row>
    <row r="236" spans="1:13" s="6" customFormat="1" x14ac:dyDescent="0.2">
      <c r="A236" s="459"/>
      <c r="B236" s="459"/>
      <c r="C236" s="706" t="s">
        <v>1089</v>
      </c>
      <c r="D236" s="610">
        <v>60000</v>
      </c>
      <c r="E236" s="610"/>
      <c r="F236" s="610">
        <v>-30000</v>
      </c>
      <c r="G236" s="610">
        <v>-4000</v>
      </c>
      <c r="H236" s="705">
        <f t="shared" si="24"/>
        <v>26000</v>
      </c>
      <c r="I236" s="705">
        <v>60000</v>
      </c>
      <c r="J236" s="705">
        <f t="shared" si="20"/>
        <v>0</v>
      </c>
      <c r="K236" s="895">
        <f t="shared" si="22"/>
        <v>0</v>
      </c>
      <c r="L236" s="705">
        <f t="shared" si="21"/>
        <v>34000</v>
      </c>
      <c r="M236" s="895">
        <f t="shared" si="23"/>
        <v>1.3076923076923077</v>
      </c>
    </row>
    <row r="237" spans="1:13" s="6" customFormat="1" x14ac:dyDescent="0.2">
      <c r="A237" s="459"/>
      <c r="B237" s="459"/>
      <c r="C237" s="706" t="s">
        <v>667</v>
      </c>
      <c r="D237" s="610">
        <v>95800</v>
      </c>
      <c r="E237" s="610"/>
      <c r="F237" s="610">
        <v>60000</v>
      </c>
      <c r="G237" s="610">
        <v>-11000</v>
      </c>
      <c r="H237" s="705">
        <f t="shared" si="24"/>
        <v>144800</v>
      </c>
      <c r="I237" s="705">
        <v>95000</v>
      </c>
      <c r="J237" s="705">
        <f t="shared" si="20"/>
        <v>-800</v>
      </c>
      <c r="K237" s="895">
        <f t="shared" si="22"/>
        <v>-8.350730688935281E-3</v>
      </c>
      <c r="L237" s="705">
        <f t="shared" si="21"/>
        <v>-49800</v>
      </c>
      <c r="M237" s="895">
        <f t="shared" si="23"/>
        <v>-0.34392265193370164</v>
      </c>
    </row>
    <row r="238" spans="1:13" s="6" customFormat="1" x14ac:dyDescent="0.2">
      <c r="A238" s="459"/>
      <c r="B238" s="459"/>
      <c r="C238" s="326"/>
      <c r="D238" s="610"/>
      <c r="E238" s="610"/>
      <c r="F238" s="610">
        <v>0</v>
      </c>
      <c r="G238" s="610"/>
      <c r="H238" s="610">
        <f t="shared" si="24"/>
        <v>0</v>
      </c>
      <c r="I238" s="610">
        <v>0</v>
      </c>
      <c r="J238" s="610">
        <f t="shared" si="20"/>
        <v>0</v>
      </c>
      <c r="K238" s="880"/>
      <c r="L238" s="610">
        <f t="shared" si="21"/>
        <v>0</v>
      </c>
      <c r="M238" s="880"/>
    </row>
    <row r="239" spans="1:13" s="6" customFormat="1" ht="25.5" x14ac:dyDescent="0.2">
      <c r="A239" s="459"/>
      <c r="B239" s="459"/>
      <c r="C239" s="707" t="s">
        <v>668</v>
      </c>
      <c r="D239" s="574">
        <f>+D248+D249+D240+D245+D250+D246+D247</f>
        <v>183570</v>
      </c>
      <c r="E239" s="574"/>
      <c r="F239" s="574">
        <v>0</v>
      </c>
      <c r="G239" s="574"/>
      <c r="H239" s="574">
        <f t="shared" si="24"/>
        <v>183570</v>
      </c>
      <c r="I239" s="574">
        <v>304570</v>
      </c>
      <c r="J239" s="574">
        <f t="shared" si="20"/>
        <v>121000</v>
      </c>
      <c r="K239" s="757">
        <f t="shared" si="22"/>
        <v>0.65914909843656366</v>
      </c>
      <c r="L239" s="574">
        <f t="shared" si="21"/>
        <v>121000</v>
      </c>
      <c r="M239" s="757">
        <f t="shared" si="23"/>
        <v>0.65914909843656366</v>
      </c>
    </row>
    <row r="240" spans="1:13" s="6" customFormat="1" x14ac:dyDescent="0.2">
      <c r="A240" s="459" t="s">
        <v>868</v>
      </c>
      <c r="B240" s="459" t="s">
        <v>792</v>
      </c>
      <c r="C240" s="708" t="s">
        <v>1090</v>
      </c>
      <c r="D240" s="610">
        <v>85000</v>
      </c>
      <c r="E240" s="610"/>
      <c r="F240" s="610">
        <v>0</v>
      </c>
      <c r="G240" s="610"/>
      <c r="H240" s="610">
        <f>D240+E240+F240+G240</f>
        <v>85000</v>
      </c>
      <c r="I240" s="610">
        <v>135000</v>
      </c>
      <c r="J240" s="610">
        <f>I240-D240</f>
        <v>50000</v>
      </c>
      <c r="K240" s="880">
        <f>J240/D240</f>
        <v>0.58823529411764708</v>
      </c>
      <c r="L240" s="610">
        <f>I240-H240</f>
        <v>50000</v>
      </c>
      <c r="M240" s="880">
        <f>L240/H240</f>
        <v>0.58823529411764708</v>
      </c>
    </row>
    <row r="241" spans="1:13" s="6" customFormat="1" x14ac:dyDescent="0.2">
      <c r="A241" s="459" t="s">
        <v>868</v>
      </c>
      <c r="B241" s="459" t="s">
        <v>792</v>
      </c>
      <c r="C241" s="983" t="s">
        <v>1091</v>
      </c>
      <c r="D241" s="610"/>
      <c r="E241" s="610"/>
      <c r="F241" s="610"/>
      <c r="G241" s="610"/>
      <c r="H241" s="610">
        <f>D241+E241+F241+G241</f>
        <v>0</v>
      </c>
      <c r="I241" s="979">
        <v>35000</v>
      </c>
      <c r="J241" s="610"/>
      <c r="K241" s="880"/>
      <c r="L241" s="610"/>
      <c r="M241" s="880"/>
    </row>
    <row r="242" spans="1:13" s="454" customFormat="1" x14ac:dyDescent="0.2">
      <c r="A242" s="459"/>
      <c r="B242" s="459"/>
      <c r="C242" s="983" t="s">
        <v>1092</v>
      </c>
      <c r="D242" s="610"/>
      <c r="E242" s="610"/>
      <c r="F242" s="610"/>
      <c r="G242" s="610"/>
      <c r="H242" s="610"/>
      <c r="I242" s="979">
        <v>50000</v>
      </c>
      <c r="J242" s="610"/>
      <c r="K242" s="880"/>
      <c r="L242" s="610"/>
      <c r="M242" s="880"/>
    </row>
    <row r="243" spans="1:13" s="6" customFormat="1" x14ac:dyDescent="0.2">
      <c r="A243" s="459"/>
      <c r="B243" s="459"/>
      <c r="C243" s="983" t="s">
        <v>1093</v>
      </c>
      <c r="D243" s="610"/>
      <c r="E243" s="610"/>
      <c r="F243" s="610"/>
      <c r="G243" s="610"/>
      <c r="H243" s="610"/>
      <c r="I243" s="979">
        <v>50000</v>
      </c>
      <c r="J243" s="610"/>
      <c r="K243" s="880"/>
      <c r="L243" s="610"/>
      <c r="M243" s="880"/>
    </row>
    <row r="244" spans="1:13" s="6" customFormat="1" x14ac:dyDescent="0.2">
      <c r="A244" s="504" t="s">
        <v>868</v>
      </c>
      <c r="B244" s="504" t="s">
        <v>792</v>
      </c>
      <c r="C244" s="708" t="s">
        <v>1044</v>
      </c>
      <c r="D244" s="610"/>
      <c r="E244" s="610"/>
      <c r="F244" s="610"/>
      <c r="G244" s="610"/>
      <c r="H244" s="610">
        <f>D244+E244+F244+G244</f>
        <v>0</v>
      </c>
      <c r="I244" s="610">
        <v>30000</v>
      </c>
      <c r="J244" s="610">
        <f>I244-D244</f>
        <v>30000</v>
      </c>
      <c r="K244" s="880"/>
      <c r="L244" s="610">
        <f>I244-H244</f>
        <v>30000</v>
      </c>
      <c r="M244" s="880"/>
    </row>
    <row r="245" spans="1:13" s="6" customFormat="1" x14ac:dyDescent="0.2">
      <c r="A245" s="459" t="s">
        <v>863</v>
      </c>
      <c r="B245" s="459" t="s">
        <v>792</v>
      </c>
      <c r="C245" s="708" t="s">
        <v>851</v>
      </c>
      <c r="D245" s="610">
        <v>10000</v>
      </c>
      <c r="E245" s="610"/>
      <c r="F245" s="610">
        <v>0</v>
      </c>
      <c r="G245" s="610"/>
      <c r="H245" s="610">
        <f>D245+E245+F245+G245</f>
        <v>10000</v>
      </c>
      <c r="I245" s="610">
        <v>10000</v>
      </c>
      <c r="J245" s="610">
        <f>I245-D245</f>
        <v>0</v>
      </c>
      <c r="K245" s="880">
        <f>J245/D245</f>
        <v>0</v>
      </c>
      <c r="L245" s="610">
        <f>I245-H245</f>
        <v>0</v>
      </c>
      <c r="M245" s="880">
        <f>L245/H245</f>
        <v>0</v>
      </c>
    </row>
    <row r="246" spans="1:13" s="6" customFormat="1" x14ac:dyDescent="0.2">
      <c r="A246" s="459" t="s">
        <v>868</v>
      </c>
      <c r="B246" s="459" t="s">
        <v>792</v>
      </c>
      <c r="C246" s="708" t="s">
        <v>548</v>
      </c>
      <c r="D246" s="610">
        <v>30000</v>
      </c>
      <c r="E246" s="610"/>
      <c r="F246" s="610">
        <v>0</v>
      </c>
      <c r="G246" s="610"/>
      <c r="H246" s="610">
        <f>D246+E246+F246+G246</f>
        <v>30000</v>
      </c>
      <c r="I246" s="610">
        <v>50000</v>
      </c>
      <c r="J246" s="610">
        <f>I246-D246</f>
        <v>20000</v>
      </c>
      <c r="K246" s="880">
        <f>J246/D246</f>
        <v>0.66666666666666663</v>
      </c>
      <c r="L246" s="610">
        <f>I246-H246</f>
        <v>20000</v>
      </c>
      <c r="M246" s="880">
        <f>L246/H246</f>
        <v>0.66666666666666663</v>
      </c>
    </row>
    <row r="247" spans="1:13" s="6" customFormat="1" x14ac:dyDescent="0.2">
      <c r="A247" s="459" t="s">
        <v>868</v>
      </c>
      <c r="B247" s="459" t="s">
        <v>792</v>
      </c>
      <c r="C247" s="708" t="s">
        <v>669</v>
      </c>
      <c r="D247" s="610">
        <v>5000</v>
      </c>
      <c r="E247" s="610"/>
      <c r="F247" s="610">
        <v>0</v>
      </c>
      <c r="G247" s="610"/>
      <c r="H247" s="610">
        <f>D247+E247+F247+G247</f>
        <v>5000</v>
      </c>
      <c r="I247" s="610">
        <v>5000</v>
      </c>
      <c r="J247" s="610">
        <f>I247-D247</f>
        <v>0</v>
      </c>
      <c r="K247" s="880">
        <f>J247/D247</f>
        <v>0</v>
      </c>
      <c r="L247" s="610">
        <f>I247-H247</f>
        <v>0</v>
      </c>
      <c r="M247" s="880">
        <f>L247/H247</f>
        <v>0</v>
      </c>
    </row>
    <row r="248" spans="1:13" s="6" customFormat="1" x14ac:dyDescent="0.2">
      <c r="A248" s="459" t="s">
        <v>868</v>
      </c>
      <c r="B248" s="459" t="s">
        <v>792</v>
      </c>
      <c r="C248" s="708" t="s">
        <v>703</v>
      </c>
      <c r="D248" s="610">
        <v>18000</v>
      </c>
      <c r="E248" s="610"/>
      <c r="F248" s="610">
        <v>0</v>
      </c>
      <c r="G248" s="610"/>
      <c r="H248" s="610">
        <f t="shared" si="24"/>
        <v>18000</v>
      </c>
      <c r="I248" s="610">
        <v>18000</v>
      </c>
      <c r="J248" s="610">
        <f t="shared" si="20"/>
        <v>0</v>
      </c>
      <c r="K248" s="880">
        <f t="shared" si="22"/>
        <v>0</v>
      </c>
      <c r="L248" s="610">
        <f t="shared" si="21"/>
        <v>0</v>
      </c>
      <c r="M248" s="880">
        <f t="shared" si="23"/>
        <v>0</v>
      </c>
    </row>
    <row r="249" spans="1:13" s="6" customFormat="1" x14ac:dyDescent="0.2">
      <c r="A249" s="459" t="s">
        <v>868</v>
      </c>
      <c r="B249" s="459" t="s">
        <v>792</v>
      </c>
      <c r="C249" s="708" t="s">
        <v>704</v>
      </c>
      <c r="D249" s="610">
        <v>20570</v>
      </c>
      <c r="E249" s="610"/>
      <c r="F249" s="610">
        <v>0</v>
      </c>
      <c r="G249" s="610"/>
      <c r="H249" s="610">
        <f>D249+E249+F249+G249</f>
        <v>20570</v>
      </c>
      <c r="I249" s="610">
        <v>20570</v>
      </c>
      <c r="J249" s="610">
        <f>I249-D249</f>
        <v>0</v>
      </c>
      <c r="K249" s="880">
        <f>J249/D249</f>
        <v>0</v>
      </c>
      <c r="L249" s="610">
        <f>I249-H249</f>
        <v>0</v>
      </c>
      <c r="M249" s="880">
        <f>L249/H249</f>
        <v>0</v>
      </c>
    </row>
    <row r="250" spans="1:13" s="6" customFormat="1" x14ac:dyDescent="0.2">
      <c r="A250" s="459" t="s">
        <v>868</v>
      </c>
      <c r="B250" s="459" t="s">
        <v>792</v>
      </c>
      <c r="C250" s="708" t="s">
        <v>705</v>
      </c>
      <c r="D250" s="610">
        <v>15000</v>
      </c>
      <c r="E250" s="610"/>
      <c r="F250" s="610">
        <v>0</v>
      </c>
      <c r="G250" s="610"/>
      <c r="H250" s="610">
        <f t="shared" si="24"/>
        <v>15000</v>
      </c>
      <c r="I250" s="610">
        <v>15000</v>
      </c>
      <c r="J250" s="610">
        <f t="shared" si="20"/>
        <v>0</v>
      </c>
      <c r="K250" s="880">
        <f t="shared" si="22"/>
        <v>0</v>
      </c>
      <c r="L250" s="610">
        <f t="shared" si="21"/>
        <v>0</v>
      </c>
      <c r="M250" s="880">
        <f t="shared" si="23"/>
        <v>0</v>
      </c>
    </row>
    <row r="251" spans="1:13" s="6" customFormat="1" x14ac:dyDescent="0.2">
      <c r="A251" s="459" t="s">
        <v>868</v>
      </c>
      <c r="B251" s="459" t="s">
        <v>792</v>
      </c>
      <c r="C251" s="708" t="s">
        <v>1004</v>
      </c>
      <c r="D251" s="610"/>
      <c r="E251" s="610"/>
      <c r="F251" s="610"/>
      <c r="G251" s="610"/>
      <c r="H251" s="610">
        <f>D251+E251+F251+G251</f>
        <v>0</v>
      </c>
      <c r="I251" s="610">
        <v>13000</v>
      </c>
      <c r="J251" s="610">
        <f>I251-D251</f>
        <v>13000</v>
      </c>
      <c r="K251" s="880"/>
      <c r="L251" s="610">
        <f>I251-H251</f>
        <v>13000</v>
      </c>
      <c r="M251" s="880"/>
    </row>
    <row r="252" spans="1:13" s="6" customFormat="1" x14ac:dyDescent="0.2">
      <c r="A252" s="459" t="s">
        <v>868</v>
      </c>
      <c r="B252" s="459" t="s">
        <v>792</v>
      </c>
      <c r="C252" s="708" t="s">
        <v>1021</v>
      </c>
      <c r="D252" s="610"/>
      <c r="E252" s="610"/>
      <c r="F252" s="610"/>
      <c r="G252" s="610"/>
      <c r="H252" s="610">
        <f t="shared" si="24"/>
        <v>0</v>
      </c>
      <c r="I252" s="610">
        <v>8000</v>
      </c>
      <c r="J252" s="610">
        <f t="shared" si="20"/>
        <v>8000</v>
      </c>
      <c r="K252" s="880"/>
      <c r="L252" s="610">
        <f t="shared" si="21"/>
        <v>8000</v>
      </c>
      <c r="M252" s="880"/>
    </row>
    <row r="253" spans="1:13" s="6" customFormat="1" x14ac:dyDescent="0.2">
      <c r="A253" s="459"/>
      <c r="B253" s="459"/>
      <c r="C253" s="706"/>
      <c r="D253" s="610"/>
      <c r="E253" s="610"/>
      <c r="F253" s="610">
        <v>0</v>
      </c>
      <c r="G253" s="610"/>
      <c r="H253" s="610">
        <f t="shared" si="24"/>
        <v>0</v>
      </c>
      <c r="I253" s="610">
        <v>0</v>
      </c>
      <c r="J253" s="610">
        <f t="shared" si="20"/>
        <v>0</v>
      </c>
      <c r="K253" s="880"/>
      <c r="L253" s="610">
        <f t="shared" si="21"/>
        <v>0</v>
      </c>
      <c r="M253" s="880"/>
    </row>
    <row r="254" spans="1:13" s="6" customFormat="1" x14ac:dyDescent="0.2">
      <c r="A254" s="459" t="s">
        <v>868</v>
      </c>
      <c r="B254" s="459" t="s">
        <v>792</v>
      </c>
      <c r="C254" s="649" t="s">
        <v>614</v>
      </c>
      <c r="D254" s="574">
        <v>635000</v>
      </c>
      <c r="E254" s="574"/>
      <c r="F254" s="574">
        <v>0</v>
      </c>
      <c r="G254" s="574"/>
      <c r="H254" s="574">
        <f t="shared" si="24"/>
        <v>635000</v>
      </c>
      <c r="I254" s="574">
        <v>685000</v>
      </c>
      <c r="J254" s="574">
        <f t="shared" si="20"/>
        <v>50000</v>
      </c>
      <c r="K254" s="757">
        <f t="shared" si="22"/>
        <v>7.874015748031496E-2</v>
      </c>
      <c r="L254" s="574">
        <f t="shared" si="21"/>
        <v>50000</v>
      </c>
      <c r="M254" s="757">
        <f t="shared" si="23"/>
        <v>7.874015748031496E-2</v>
      </c>
    </row>
    <row r="255" spans="1:13" s="6" customFormat="1" x14ac:dyDescent="0.2">
      <c r="A255" s="459"/>
      <c r="B255" s="459"/>
      <c r="C255" s="104"/>
      <c r="D255" s="574"/>
      <c r="E255" s="574"/>
      <c r="F255" s="574">
        <v>0</v>
      </c>
      <c r="G255" s="574"/>
      <c r="H255" s="574">
        <f t="shared" si="24"/>
        <v>0</v>
      </c>
      <c r="I255" s="574">
        <v>0</v>
      </c>
      <c r="J255" s="574">
        <f t="shared" si="20"/>
        <v>0</v>
      </c>
      <c r="K255" s="757"/>
      <c r="L255" s="574">
        <f t="shared" si="21"/>
        <v>0</v>
      </c>
      <c r="M255" s="757"/>
    </row>
    <row r="256" spans="1:13" s="6" customFormat="1" x14ac:dyDescent="0.2">
      <c r="A256" s="459" t="s">
        <v>869</v>
      </c>
      <c r="B256" s="459" t="s">
        <v>792</v>
      </c>
      <c r="C256" s="115" t="s">
        <v>613</v>
      </c>
      <c r="D256" s="574">
        <v>495000</v>
      </c>
      <c r="E256" s="574"/>
      <c r="F256" s="574">
        <v>0</v>
      </c>
      <c r="G256" s="574"/>
      <c r="H256" s="574">
        <f t="shared" si="24"/>
        <v>495000</v>
      </c>
      <c r="I256" s="574">
        <v>883325</v>
      </c>
      <c r="J256" s="574">
        <f t="shared" si="20"/>
        <v>388325</v>
      </c>
      <c r="K256" s="757">
        <f t="shared" si="22"/>
        <v>0.78449494949494947</v>
      </c>
      <c r="L256" s="574">
        <f t="shared" si="21"/>
        <v>388325</v>
      </c>
      <c r="M256" s="757">
        <f t="shared" si="23"/>
        <v>0.78449494949494947</v>
      </c>
    </row>
    <row r="257" spans="1:13" s="6" customFormat="1" x14ac:dyDescent="0.2">
      <c r="A257" s="459"/>
      <c r="B257" s="459"/>
      <c r="C257" s="115"/>
      <c r="D257" s="574"/>
      <c r="E257" s="574"/>
      <c r="F257" s="574"/>
      <c r="G257" s="574"/>
      <c r="H257" s="574"/>
      <c r="I257" s="574">
        <v>0</v>
      </c>
      <c r="J257" s="574">
        <f t="shared" si="20"/>
        <v>0</v>
      </c>
      <c r="K257" s="757"/>
      <c r="L257" s="574">
        <f t="shared" si="21"/>
        <v>0</v>
      </c>
      <c r="M257" s="757"/>
    </row>
    <row r="258" spans="1:13" s="6" customFormat="1" ht="38.25" x14ac:dyDescent="0.2">
      <c r="A258" s="459" t="s">
        <v>868</v>
      </c>
      <c r="B258" s="459" t="s">
        <v>792</v>
      </c>
      <c r="C258" s="681" t="s">
        <v>1094</v>
      </c>
      <c r="D258" s="574"/>
      <c r="E258" s="574"/>
      <c r="F258" s="574"/>
      <c r="G258" s="574"/>
      <c r="H258" s="574"/>
      <c r="I258" s="574">
        <v>40000</v>
      </c>
      <c r="J258" s="574">
        <f t="shared" si="20"/>
        <v>40000</v>
      </c>
      <c r="K258" s="757"/>
      <c r="L258" s="574">
        <f t="shared" si="21"/>
        <v>40000</v>
      </c>
      <c r="M258" s="757"/>
    </row>
    <row r="259" spans="1:13" s="6" customFormat="1" x14ac:dyDescent="0.2">
      <c r="A259" s="459"/>
      <c r="B259" s="459"/>
      <c r="C259" s="115"/>
      <c r="D259" s="574"/>
      <c r="E259" s="574"/>
      <c r="F259" s="574">
        <v>0</v>
      </c>
      <c r="G259" s="574"/>
      <c r="H259" s="574">
        <f t="shared" si="24"/>
        <v>0</v>
      </c>
      <c r="I259" s="574">
        <v>0</v>
      </c>
      <c r="J259" s="574">
        <f t="shared" si="20"/>
        <v>0</v>
      </c>
      <c r="K259" s="757"/>
      <c r="L259" s="574">
        <f t="shared" si="21"/>
        <v>0</v>
      </c>
      <c r="M259" s="757"/>
    </row>
    <row r="260" spans="1:13" s="6" customFormat="1" ht="25.5" x14ac:dyDescent="0.2">
      <c r="A260" s="459" t="s">
        <v>868</v>
      </c>
      <c r="B260" s="459" t="s">
        <v>792</v>
      </c>
      <c r="C260" s="115" t="s">
        <v>810</v>
      </c>
      <c r="D260" s="574">
        <v>30000</v>
      </c>
      <c r="E260" s="574"/>
      <c r="F260" s="574">
        <v>0</v>
      </c>
      <c r="G260" s="574"/>
      <c r="H260" s="574">
        <f t="shared" si="24"/>
        <v>30000</v>
      </c>
      <c r="I260" s="574">
        <v>0</v>
      </c>
      <c r="J260" s="574">
        <f t="shared" si="20"/>
        <v>-30000</v>
      </c>
      <c r="K260" s="757">
        <f t="shared" si="22"/>
        <v>-1</v>
      </c>
      <c r="L260" s="574">
        <f t="shared" si="21"/>
        <v>-30000</v>
      </c>
      <c r="M260" s="757">
        <f t="shared" si="23"/>
        <v>-1</v>
      </c>
    </row>
    <row r="261" spans="1:13" s="6" customFormat="1" x14ac:dyDescent="0.2">
      <c r="A261" s="459"/>
      <c r="B261" s="459"/>
      <c r="C261" s="308"/>
      <c r="D261" s="574"/>
      <c r="E261" s="574"/>
      <c r="F261" s="574">
        <v>0</v>
      </c>
      <c r="G261" s="574"/>
      <c r="H261" s="574">
        <f t="shared" si="24"/>
        <v>0</v>
      </c>
      <c r="I261" s="574">
        <v>0</v>
      </c>
      <c r="J261" s="574">
        <f t="shared" si="20"/>
        <v>0</v>
      </c>
      <c r="K261" s="757"/>
      <c r="L261" s="574">
        <f t="shared" si="21"/>
        <v>0</v>
      </c>
      <c r="M261" s="757"/>
    </row>
    <row r="262" spans="1:13" s="6" customFormat="1" ht="51" x14ac:dyDescent="0.2">
      <c r="A262" s="459" t="s">
        <v>872</v>
      </c>
      <c r="B262" s="459" t="s">
        <v>792</v>
      </c>
      <c r="C262" s="115" t="s">
        <v>604</v>
      </c>
      <c r="D262" s="613">
        <v>1367</v>
      </c>
      <c r="E262" s="613"/>
      <c r="F262" s="613">
        <v>0</v>
      </c>
      <c r="G262" s="613"/>
      <c r="H262" s="613">
        <f t="shared" si="24"/>
        <v>1367</v>
      </c>
      <c r="I262" s="613">
        <v>0</v>
      </c>
      <c r="J262" s="613">
        <f t="shared" si="20"/>
        <v>-1367</v>
      </c>
      <c r="K262" s="825">
        <f t="shared" si="22"/>
        <v>-1</v>
      </c>
      <c r="L262" s="613">
        <f t="shared" si="21"/>
        <v>-1367</v>
      </c>
      <c r="M262" s="825">
        <f t="shared" si="23"/>
        <v>-1</v>
      </c>
    </row>
    <row r="263" spans="1:13" s="6" customFormat="1" x14ac:dyDescent="0.2">
      <c r="A263" s="459"/>
      <c r="B263" s="459"/>
      <c r="C263" s="308" t="s">
        <v>119</v>
      </c>
      <c r="D263" s="732">
        <v>1020</v>
      </c>
      <c r="E263" s="568"/>
      <c r="F263" s="568">
        <v>0</v>
      </c>
      <c r="G263" s="568"/>
      <c r="H263" s="568">
        <f t="shared" si="24"/>
        <v>1020</v>
      </c>
      <c r="I263" s="568">
        <v>0</v>
      </c>
      <c r="J263" s="568">
        <f t="shared" si="20"/>
        <v>-1020</v>
      </c>
      <c r="K263" s="882">
        <f t="shared" si="22"/>
        <v>-1</v>
      </c>
      <c r="L263" s="568">
        <f t="shared" si="21"/>
        <v>-1020</v>
      </c>
      <c r="M263" s="882">
        <f t="shared" si="23"/>
        <v>-1</v>
      </c>
    </row>
    <row r="264" spans="1:13" s="6" customFormat="1" x14ac:dyDescent="0.2">
      <c r="A264" s="459"/>
      <c r="B264" s="459"/>
      <c r="C264" s="308"/>
      <c r="D264" s="568"/>
      <c r="E264" s="568"/>
      <c r="F264" s="568">
        <v>0</v>
      </c>
      <c r="G264" s="568"/>
      <c r="H264" s="568">
        <f t="shared" si="24"/>
        <v>0</v>
      </c>
      <c r="I264" s="568">
        <v>0</v>
      </c>
      <c r="J264" s="568">
        <f t="shared" si="20"/>
        <v>0</v>
      </c>
      <c r="K264" s="882"/>
      <c r="L264" s="568">
        <f t="shared" si="21"/>
        <v>0</v>
      </c>
      <c r="M264" s="882"/>
    </row>
    <row r="265" spans="1:13" s="6" customFormat="1" x14ac:dyDescent="0.2">
      <c r="A265" s="459"/>
      <c r="B265" s="459"/>
      <c r="C265" s="299" t="s">
        <v>329</v>
      </c>
      <c r="D265" s="568">
        <v>1161</v>
      </c>
      <c r="E265" s="568"/>
      <c r="F265" s="568">
        <v>0</v>
      </c>
      <c r="G265" s="568"/>
      <c r="H265" s="568">
        <f t="shared" si="24"/>
        <v>1161</v>
      </c>
      <c r="I265" s="568">
        <v>0</v>
      </c>
      <c r="J265" s="568">
        <f t="shared" si="20"/>
        <v>-1161</v>
      </c>
      <c r="K265" s="882">
        <f t="shared" si="22"/>
        <v>-1</v>
      </c>
      <c r="L265" s="568">
        <f t="shared" si="21"/>
        <v>-1161</v>
      </c>
      <c r="M265" s="882">
        <f t="shared" si="23"/>
        <v>-1</v>
      </c>
    </row>
    <row r="266" spans="1:13" s="6" customFormat="1" x14ac:dyDescent="0.2">
      <c r="A266" s="459"/>
      <c r="B266" s="459"/>
      <c r="C266" s="103"/>
      <c r="D266" s="567"/>
      <c r="E266" s="567"/>
      <c r="F266" s="567">
        <v>0</v>
      </c>
      <c r="G266" s="567"/>
      <c r="H266" s="567">
        <f t="shared" si="24"/>
        <v>0</v>
      </c>
      <c r="I266" s="567">
        <v>0</v>
      </c>
      <c r="J266" s="567">
        <f t="shared" si="20"/>
        <v>0</v>
      </c>
      <c r="K266" s="878"/>
      <c r="L266" s="567">
        <f t="shared" si="21"/>
        <v>0</v>
      </c>
      <c r="M266" s="878"/>
    </row>
    <row r="267" spans="1:13" s="6" customFormat="1" ht="15" x14ac:dyDescent="0.2">
      <c r="A267" s="459" t="s">
        <v>869</v>
      </c>
      <c r="B267" s="459" t="s">
        <v>792</v>
      </c>
      <c r="C267" s="99" t="s">
        <v>249</v>
      </c>
      <c r="D267" s="644">
        <f>D268</f>
        <v>661095</v>
      </c>
      <c r="E267" s="644"/>
      <c r="F267" s="644">
        <v>0</v>
      </c>
      <c r="G267" s="644">
        <f>G268</f>
        <v>54208</v>
      </c>
      <c r="H267" s="644">
        <f t="shared" si="24"/>
        <v>715303</v>
      </c>
      <c r="I267" s="644">
        <v>667696</v>
      </c>
      <c r="J267" s="644">
        <f t="shared" si="20"/>
        <v>6601</v>
      </c>
      <c r="K267" s="896">
        <f t="shared" si="22"/>
        <v>9.9849492130480496E-3</v>
      </c>
      <c r="L267" s="644">
        <f t="shared" si="21"/>
        <v>-47607</v>
      </c>
      <c r="M267" s="896">
        <f t="shared" si="23"/>
        <v>-6.6555012351409121E-2</v>
      </c>
    </row>
    <row r="268" spans="1:13" s="6" customFormat="1" x14ac:dyDescent="0.2">
      <c r="A268" s="459"/>
      <c r="B268" s="459"/>
      <c r="C268" s="112" t="s">
        <v>263</v>
      </c>
      <c r="D268" s="570">
        <f>D271</f>
        <v>661095</v>
      </c>
      <c r="E268" s="570"/>
      <c r="F268" s="570">
        <v>0</v>
      </c>
      <c r="G268" s="570">
        <f>G271</f>
        <v>54208</v>
      </c>
      <c r="H268" s="570">
        <f t="shared" si="24"/>
        <v>715303</v>
      </c>
      <c r="I268" s="570">
        <v>667696</v>
      </c>
      <c r="J268" s="570">
        <f t="shared" si="20"/>
        <v>6601</v>
      </c>
      <c r="K268" s="816">
        <f t="shared" si="22"/>
        <v>9.9849492130480496E-3</v>
      </c>
      <c r="L268" s="570">
        <f t="shared" si="21"/>
        <v>-47607</v>
      </c>
      <c r="M268" s="816">
        <f t="shared" si="23"/>
        <v>-6.6555012351409121E-2</v>
      </c>
    </row>
    <row r="269" spans="1:13" s="6" customFormat="1" x14ac:dyDescent="0.2">
      <c r="A269" s="459"/>
      <c r="B269" s="459"/>
      <c r="C269" s="98" t="s">
        <v>119</v>
      </c>
      <c r="D269" s="728">
        <f>D272</f>
        <v>166610</v>
      </c>
      <c r="E269" s="567"/>
      <c r="F269" s="567">
        <v>0</v>
      </c>
      <c r="G269" s="567">
        <f>G272</f>
        <v>0</v>
      </c>
      <c r="H269" s="567">
        <f t="shared" si="24"/>
        <v>166610</v>
      </c>
      <c r="I269" s="567">
        <v>170390</v>
      </c>
      <c r="J269" s="567">
        <f t="shared" si="20"/>
        <v>3780</v>
      </c>
      <c r="K269" s="878">
        <f t="shared" si="22"/>
        <v>2.2687713822699719E-2</v>
      </c>
      <c r="L269" s="567">
        <f t="shared" si="21"/>
        <v>3780</v>
      </c>
      <c r="M269" s="878">
        <f t="shared" si="23"/>
        <v>2.2687713822699719E-2</v>
      </c>
    </row>
    <row r="270" spans="1:13" s="6" customFormat="1" x14ac:dyDescent="0.2">
      <c r="A270" s="459"/>
      <c r="B270" s="459"/>
      <c r="C270" s="321" t="s">
        <v>196</v>
      </c>
      <c r="D270" s="566"/>
      <c r="E270" s="566"/>
      <c r="F270" s="566">
        <v>0</v>
      </c>
      <c r="G270" s="566"/>
      <c r="H270" s="566">
        <f t="shared" si="24"/>
        <v>0</v>
      </c>
      <c r="I270" s="566">
        <v>0</v>
      </c>
      <c r="J270" s="566">
        <f t="shared" si="20"/>
        <v>0</v>
      </c>
      <c r="K270" s="816"/>
      <c r="L270" s="566">
        <f t="shared" si="21"/>
        <v>0</v>
      </c>
      <c r="M270" s="816"/>
    </row>
    <row r="271" spans="1:13" s="6" customFormat="1" x14ac:dyDescent="0.2">
      <c r="A271" s="459"/>
      <c r="B271" s="459"/>
      <c r="C271" s="106" t="s">
        <v>264</v>
      </c>
      <c r="D271" s="194">
        <f>691095-30000</f>
        <v>661095</v>
      </c>
      <c r="E271" s="194"/>
      <c r="F271" s="194">
        <v>0</v>
      </c>
      <c r="G271" s="194">
        <v>54208</v>
      </c>
      <c r="H271" s="194">
        <f t="shared" si="24"/>
        <v>715303</v>
      </c>
      <c r="I271" s="194">
        <v>667696</v>
      </c>
      <c r="J271" s="194">
        <f t="shared" si="20"/>
        <v>6601</v>
      </c>
      <c r="K271" s="887">
        <f t="shared" si="22"/>
        <v>9.9849492130480496E-3</v>
      </c>
      <c r="L271" s="194">
        <f t="shared" si="21"/>
        <v>-47607</v>
      </c>
      <c r="M271" s="887">
        <f t="shared" si="23"/>
        <v>-6.6555012351409121E-2</v>
      </c>
    </row>
    <row r="272" spans="1:13" s="6" customFormat="1" x14ac:dyDescent="0.2">
      <c r="A272" s="459"/>
      <c r="B272" s="459"/>
      <c r="C272" s="103" t="s">
        <v>119</v>
      </c>
      <c r="D272" s="728">
        <v>166610</v>
      </c>
      <c r="E272" s="567"/>
      <c r="F272" s="567">
        <v>0</v>
      </c>
      <c r="G272" s="567"/>
      <c r="H272" s="567">
        <f t="shared" si="24"/>
        <v>166610</v>
      </c>
      <c r="I272" s="567">
        <v>170390</v>
      </c>
      <c r="J272" s="567">
        <f t="shared" si="20"/>
        <v>3780</v>
      </c>
      <c r="K272" s="878">
        <f t="shared" si="22"/>
        <v>2.2687713822699719E-2</v>
      </c>
      <c r="L272" s="567">
        <f t="shared" si="21"/>
        <v>3780</v>
      </c>
      <c r="M272" s="878">
        <f t="shared" si="23"/>
        <v>2.2687713822699719E-2</v>
      </c>
    </row>
    <row r="273" spans="1:13" s="6" customFormat="1" x14ac:dyDescent="0.2">
      <c r="A273" s="459"/>
      <c r="B273" s="459"/>
      <c r="C273" s="322"/>
      <c r="D273" s="715"/>
      <c r="E273" s="715"/>
      <c r="F273" s="715">
        <v>0</v>
      </c>
      <c r="G273" s="715"/>
      <c r="H273" s="715">
        <f t="shared" si="24"/>
        <v>0</v>
      </c>
      <c r="I273" s="715">
        <v>0</v>
      </c>
      <c r="J273" s="715">
        <f t="shared" si="20"/>
        <v>0</v>
      </c>
      <c r="K273" s="891"/>
      <c r="L273" s="715">
        <f t="shared" si="21"/>
        <v>0</v>
      </c>
      <c r="M273" s="891"/>
    </row>
    <row r="274" spans="1:13" s="6" customFormat="1" ht="15" x14ac:dyDescent="0.2">
      <c r="A274" s="459" t="s">
        <v>870</v>
      </c>
      <c r="B274" s="459" t="s">
        <v>792</v>
      </c>
      <c r="C274" s="863" t="s">
        <v>267</v>
      </c>
      <c r="D274" s="644">
        <f>D275</f>
        <v>4897739</v>
      </c>
      <c r="E274" s="644"/>
      <c r="F274" s="644">
        <f>F275</f>
        <v>475000</v>
      </c>
      <c r="G274" s="644">
        <f>G275</f>
        <v>5000</v>
      </c>
      <c r="H274" s="644">
        <f t="shared" si="24"/>
        <v>5377739</v>
      </c>
      <c r="I274" s="644">
        <v>5560336</v>
      </c>
      <c r="J274" s="644">
        <f t="shared" si="20"/>
        <v>662597</v>
      </c>
      <c r="K274" s="896">
        <f t="shared" si="22"/>
        <v>0.13528630251632437</v>
      </c>
      <c r="L274" s="644">
        <f t="shared" si="21"/>
        <v>182597</v>
      </c>
      <c r="M274" s="896">
        <f t="shared" si="23"/>
        <v>3.3954232438576884E-2</v>
      </c>
    </row>
    <row r="275" spans="1:13" s="6" customFormat="1" x14ac:dyDescent="0.2">
      <c r="A275" s="459"/>
      <c r="B275" s="459"/>
      <c r="C275" s="694" t="s">
        <v>839</v>
      </c>
      <c r="D275" s="570">
        <f>D278+D282+D286+D289</f>
        <v>4897739</v>
      </c>
      <c r="E275" s="570"/>
      <c r="F275" s="570">
        <f>F278+F282+F286+F289+F292</f>
        <v>475000</v>
      </c>
      <c r="G275" s="570">
        <f>G278+G282+G286+G289+G292</f>
        <v>5000</v>
      </c>
      <c r="H275" s="570">
        <f t="shared" si="24"/>
        <v>5377739</v>
      </c>
      <c r="I275" s="570">
        <v>5147956</v>
      </c>
      <c r="J275" s="570">
        <f t="shared" si="20"/>
        <v>250217</v>
      </c>
      <c r="K275" s="816">
        <f t="shared" si="22"/>
        <v>5.1088267463823611E-2</v>
      </c>
      <c r="L275" s="570">
        <f t="shared" si="21"/>
        <v>-229783</v>
      </c>
      <c r="M275" s="816">
        <f t="shared" si="23"/>
        <v>-4.2728551906293703E-2</v>
      </c>
    </row>
    <row r="276" spans="1:13" s="6" customFormat="1" x14ac:dyDescent="0.2">
      <c r="A276" s="459"/>
      <c r="B276" s="459"/>
      <c r="C276" s="730" t="s">
        <v>119</v>
      </c>
      <c r="D276" s="728">
        <f>D279+D283</f>
        <v>572295</v>
      </c>
      <c r="E276" s="567"/>
      <c r="F276" s="567">
        <f>F279+F283</f>
        <v>0</v>
      </c>
      <c r="G276" s="567">
        <f>G279+G283</f>
        <v>0</v>
      </c>
      <c r="H276" s="567">
        <f t="shared" si="24"/>
        <v>572295</v>
      </c>
      <c r="I276" s="567">
        <v>620049</v>
      </c>
      <c r="J276" s="567">
        <f t="shared" si="20"/>
        <v>47754</v>
      </c>
      <c r="K276" s="878">
        <f t="shared" si="22"/>
        <v>8.3442979582208476E-2</v>
      </c>
      <c r="L276" s="567">
        <f t="shared" si="21"/>
        <v>47754</v>
      </c>
      <c r="M276" s="878">
        <f t="shared" si="23"/>
        <v>8.3442979582208476E-2</v>
      </c>
    </row>
    <row r="277" spans="1:13" s="6" customFormat="1" x14ac:dyDescent="0.2">
      <c r="A277" s="459"/>
      <c r="B277" s="459"/>
      <c r="C277" s="695" t="s">
        <v>196</v>
      </c>
      <c r="D277" s="566"/>
      <c r="E277" s="566"/>
      <c r="F277" s="566">
        <v>0</v>
      </c>
      <c r="G277" s="566"/>
      <c r="H277" s="566">
        <f t="shared" si="24"/>
        <v>0</v>
      </c>
      <c r="I277" s="566">
        <v>0</v>
      </c>
      <c r="J277" s="566">
        <f t="shared" si="20"/>
        <v>0</v>
      </c>
      <c r="K277" s="816"/>
      <c r="L277" s="566">
        <f t="shared" si="21"/>
        <v>0</v>
      </c>
      <c r="M277" s="816"/>
    </row>
    <row r="278" spans="1:13" s="6" customFormat="1" ht="24" x14ac:dyDescent="0.2">
      <c r="A278" s="459"/>
      <c r="B278" s="459"/>
      <c r="C278" s="106" t="s">
        <v>666</v>
      </c>
      <c r="D278" s="480">
        <v>3100000</v>
      </c>
      <c r="E278" s="480"/>
      <c r="F278" s="480">
        <v>132000</v>
      </c>
      <c r="G278" s="480"/>
      <c r="H278" s="480">
        <f t="shared" si="24"/>
        <v>3232000</v>
      </c>
      <c r="I278" s="480">
        <v>3300000</v>
      </c>
      <c r="J278" s="480">
        <f t="shared" si="20"/>
        <v>200000</v>
      </c>
      <c r="K278" s="868">
        <f t="shared" si="22"/>
        <v>6.4516129032258063E-2</v>
      </c>
      <c r="L278" s="480">
        <f t="shared" si="21"/>
        <v>68000</v>
      </c>
      <c r="M278" s="868">
        <f t="shared" si="23"/>
        <v>2.1039603960396041E-2</v>
      </c>
    </row>
    <row r="279" spans="1:13" s="6" customFormat="1" x14ac:dyDescent="0.2">
      <c r="A279" s="459"/>
      <c r="B279" s="459"/>
      <c r="C279" s="731" t="s">
        <v>119</v>
      </c>
      <c r="D279" s="728">
        <v>273006</v>
      </c>
      <c r="E279" s="567"/>
      <c r="F279" s="567">
        <v>0</v>
      </c>
      <c r="G279" s="567"/>
      <c r="H279" s="567">
        <f t="shared" si="24"/>
        <v>273006</v>
      </c>
      <c r="I279" s="567">
        <v>273006</v>
      </c>
      <c r="J279" s="567">
        <f t="shared" si="20"/>
        <v>0</v>
      </c>
      <c r="K279" s="878">
        <f t="shared" si="22"/>
        <v>0</v>
      </c>
      <c r="L279" s="567">
        <f t="shared" si="21"/>
        <v>0</v>
      </c>
      <c r="M279" s="878">
        <f t="shared" si="23"/>
        <v>0</v>
      </c>
    </row>
    <row r="280" spans="1:13" s="6" customFormat="1" x14ac:dyDescent="0.2">
      <c r="A280" s="459"/>
      <c r="B280" s="459"/>
      <c r="C280" s="323"/>
      <c r="D280" s="716"/>
      <c r="E280" s="716"/>
      <c r="F280" s="716">
        <v>0</v>
      </c>
      <c r="G280" s="716"/>
      <c r="H280" s="716">
        <f t="shared" si="24"/>
        <v>0</v>
      </c>
      <c r="I280" s="716">
        <v>0</v>
      </c>
      <c r="J280" s="716">
        <f t="shared" si="20"/>
        <v>0</v>
      </c>
      <c r="K280" s="897"/>
      <c r="L280" s="716">
        <f t="shared" si="21"/>
        <v>0</v>
      </c>
      <c r="M280" s="897"/>
    </row>
    <row r="281" spans="1:13" s="6" customFormat="1" x14ac:dyDescent="0.2">
      <c r="A281" s="459"/>
      <c r="B281" s="459"/>
      <c r="C281" s="695" t="s">
        <v>196</v>
      </c>
      <c r="D281" s="709"/>
      <c r="E281" s="709"/>
      <c r="F281" s="709">
        <v>0</v>
      </c>
      <c r="G281" s="709"/>
      <c r="H281" s="709">
        <f t="shared" si="24"/>
        <v>0</v>
      </c>
      <c r="I281" s="709">
        <v>0</v>
      </c>
      <c r="J281" s="709">
        <f t="shared" si="20"/>
        <v>0</v>
      </c>
      <c r="K281" s="898"/>
      <c r="L281" s="709">
        <f t="shared" si="21"/>
        <v>0</v>
      </c>
      <c r="M281" s="898"/>
    </row>
    <row r="282" spans="1:13" s="6" customFormat="1" x14ac:dyDescent="0.2">
      <c r="A282" s="459"/>
      <c r="B282" s="459"/>
      <c r="C282" s="300" t="s">
        <v>836</v>
      </c>
      <c r="D282" s="710">
        <v>1439939</v>
      </c>
      <c r="E282" s="710"/>
      <c r="F282" s="710">
        <v>258000</v>
      </c>
      <c r="G282" s="710"/>
      <c r="H282" s="710">
        <v>1697939</v>
      </c>
      <c r="I282" s="710">
        <v>1744956</v>
      </c>
      <c r="J282" s="710">
        <f t="shared" si="20"/>
        <v>305017</v>
      </c>
      <c r="K282" s="899">
        <f t="shared" si="22"/>
        <v>0.21182633430999506</v>
      </c>
      <c r="L282" s="710">
        <f t="shared" si="21"/>
        <v>47017</v>
      </c>
      <c r="M282" s="899">
        <f t="shared" si="23"/>
        <v>2.7690629639816271E-2</v>
      </c>
    </row>
    <row r="283" spans="1:13" s="6" customFormat="1" x14ac:dyDescent="0.2">
      <c r="A283" s="459"/>
      <c r="B283" s="459"/>
      <c r="C283" s="731" t="s">
        <v>119</v>
      </c>
      <c r="D283" s="733">
        <v>299289</v>
      </c>
      <c r="E283" s="711"/>
      <c r="F283" s="711">
        <v>0</v>
      </c>
      <c r="G283" s="711"/>
      <c r="H283" s="711">
        <v>299289</v>
      </c>
      <c r="I283" s="711">
        <v>347043</v>
      </c>
      <c r="J283" s="711">
        <f t="shared" si="20"/>
        <v>47754</v>
      </c>
      <c r="K283" s="900">
        <f t="shared" si="22"/>
        <v>0.15955815282218858</v>
      </c>
      <c r="L283" s="711">
        <f t="shared" si="21"/>
        <v>47754</v>
      </c>
      <c r="M283" s="900">
        <f t="shared" si="23"/>
        <v>0.15955815282218858</v>
      </c>
    </row>
    <row r="284" spans="1:13" s="6" customFormat="1" x14ac:dyDescent="0.2">
      <c r="A284" s="459"/>
      <c r="B284" s="459"/>
      <c r="C284" s="323"/>
      <c r="D284" s="709"/>
      <c r="E284" s="709"/>
      <c r="F284" s="709">
        <v>0</v>
      </c>
      <c r="G284" s="709"/>
      <c r="H284" s="709">
        <f t="shared" si="24"/>
        <v>0</v>
      </c>
      <c r="I284" s="709">
        <v>0</v>
      </c>
      <c r="J284" s="709">
        <f t="shared" ref="J284:J329" si="25">I284-D284</f>
        <v>0</v>
      </c>
      <c r="K284" s="898"/>
      <c r="L284" s="709">
        <f t="shared" ref="L284:L329" si="26">I284-H284</f>
        <v>0</v>
      </c>
      <c r="M284" s="898"/>
    </row>
    <row r="285" spans="1:13" s="6" customFormat="1" x14ac:dyDescent="0.2">
      <c r="A285" s="459"/>
      <c r="B285" s="459"/>
      <c r="C285" s="695" t="s">
        <v>196</v>
      </c>
      <c r="D285" s="709"/>
      <c r="E285" s="709"/>
      <c r="F285" s="709">
        <v>0</v>
      </c>
      <c r="G285" s="709"/>
      <c r="H285" s="709">
        <f t="shared" si="24"/>
        <v>0</v>
      </c>
      <c r="I285" s="709">
        <v>0</v>
      </c>
      <c r="J285" s="709">
        <f t="shared" si="25"/>
        <v>0</v>
      </c>
      <c r="K285" s="898"/>
      <c r="L285" s="709">
        <f t="shared" si="26"/>
        <v>0</v>
      </c>
      <c r="M285" s="898"/>
    </row>
    <row r="286" spans="1:13" s="6" customFormat="1" ht="24" x14ac:dyDescent="0.2">
      <c r="A286" s="459"/>
      <c r="B286" s="459"/>
      <c r="C286" s="106" t="s">
        <v>840</v>
      </c>
      <c r="D286" s="710">
        <f>93000+10000</f>
        <v>103000</v>
      </c>
      <c r="E286" s="710"/>
      <c r="F286" s="710">
        <v>-30000</v>
      </c>
      <c r="G286" s="710"/>
      <c r="H286" s="710">
        <f t="shared" si="24"/>
        <v>73000</v>
      </c>
      <c r="I286" s="710">
        <v>103000</v>
      </c>
      <c r="J286" s="710">
        <f t="shared" si="25"/>
        <v>0</v>
      </c>
      <c r="K286" s="899">
        <f t="shared" ref="K286:K329" si="27">J286/D286</f>
        <v>0</v>
      </c>
      <c r="L286" s="710">
        <f t="shared" si="26"/>
        <v>30000</v>
      </c>
      <c r="M286" s="899">
        <f t="shared" ref="M286:M329" si="28">L286/H286</f>
        <v>0.41095890410958902</v>
      </c>
    </row>
    <row r="287" spans="1:13" s="6" customFormat="1" x14ac:dyDescent="0.2">
      <c r="A287" s="459"/>
      <c r="B287" s="459"/>
      <c r="C287" s="106"/>
      <c r="D287" s="710"/>
      <c r="E287" s="710"/>
      <c r="F287" s="710">
        <v>0</v>
      </c>
      <c r="G287" s="710"/>
      <c r="H287" s="710">
        <f t="shared" si="24"/>
        <v>0</v>
      </c>
      <c r="I287" s="710">
        <v>0</v>
      </c>
      <c r="J287" s="710">
        <f t="shared" si="25"/>
        <v>0</v>
      </c>
      <c r="K287" s="899"/>
      <c r="L287" s="710">
        <f t="shared" si="26"/>
        <v>0</v>
      </c>
      <c r="M287" s="899"/>
    </row>
    <row r="288" spans="1:13" s="6" customFormat="1" x14ac:dyDescent="0.2">
      <c r="A288" s="459"/>
      <c r="B288" s="459"/>
      <c r="C288" s="695" t="s">
        <v>802</v>
      </c>
      <c r="D288" s="712"/>
      <c r="E288" s="712"/>
      <c r="F288" s="712">
        <v>0</v>
      </c>
      <c r="G288" s="712"/>
      <c r="H288" s="710">
        <f t="shared" si="24"/>
        <v>0</v>
      </c>
      <c r="I288" s="710">
        <v>0</v>
      </c>
      <c r="J288" s="710">
        <f t="shared" si="25"/>
        <v>0</v>
      </c>
      <c r="K288" s="899"/>
      <c r="L288" s="710">
        <f t="shared" si="26"/>
        <v>0</v>
      </c>
      <c r="M288" s="899"/>
    </row>
    <row r="289" spans="1:13" s="6" customFormat="1" x14ac:dyDescent="0.2">
      <c r="A289" s="459"/>
      <c r="B289" s="459"/>
      <c r="C289" s="713" t="s">
        <v>408</v>
      </c>
      <c r="D289" s="714">
        <f>223000-28200+60000</f>
        <v>254800</v>
      </c>
      <c r="E289" s="714"/>
      <c r="F289" s="714">
        <v>30000</v>
      </c>
      <c r="G289" s="714">
        <v>5000</v>
      </c>
      <c r="H289" s="710">
        <f t="shared" ref="H289:H332" si="29">D289+E289+F289+G289</f>
        <v>289800</v>
      </c>
      <c r="I289" s="710">
        <v>412380</v>
      </c>
      <c r="J289" s="710">
        <f t="shared" si="25"/>
        <v>157580</v>
      </c>
      <c r="K289" s="899">
        <f t="shared" si="27"/>
        <v>0.61844583987441126</v>
      </c>
      <c r="L289" s="710">
        <f t="shared" si="26"/>
        <v>122580</v>
      </c>
      <c r="M289" s="899">
        <f t="shared" si="28"/>
        <v>0.42298136645962731</v>
      </c>
    </row>
    <row r="290" spans="1:13" s="6" customFormat="1" x14ac:dyDescent="0.2">
      <c r="A290" s="459"/>
      <c r="B290" s="459"/>
      <c r="C290" s="378"/>
      <c r="D290" s="714"/>
      <c r="E290" s="714"/>
      <c r="F290" s="714">
        <v>0</v>
      </c>
      <c r="G290" s="714"/>
      <c r="H290" s="714">
        <f t="shared" si="29"/>
        <v>0</v>
      </c>
      <c r="I290" s="714">
        <v>0</v>
      </c>
      <c r="J290" s="714">
        <f t="shared" si="25"/>
        <v>0</v>
      </c>
      <c r="K290" s="901"/>
      <c r="L290" s="714">
        <f t="shared" si="26"/>
        <v>0</v>
      </c>
      <c r="M290" s="901"/>
    </row>
    <row r="291" spans="1:13" s="65" customFormat="1" x14ac:dyDescent="0.2">
      <c r="A291" s="459"/>
      <c r="B291" s="459"/>
      <c r="C291" s="321" t="s">
        <v>802</v>
      </c>
      <c r="D291" s="714"/>
      <c r="E291" s="714"/>
      <c r="F291" s="714">
        <v>0</v>
      </c>
      <c r="G291" s="714"/>
      <c r="H291" s="714">
        <f t="shared" si="29"/>
        <v>0</v>
      </c>
      <c r="I291" s="714">
        <v>0</v>
      </c>
      <c r="J291" s="714">
        <f t="shared" si="25"/>
        <v>0</v>
      </c>
      <c r="K291" s="901"/>
      <c r="L291" s="714">
        <f t="shared" si="26"/>
        <v>0</v>
      </c>
      <c r="M291" s="901"/>
    </row>
    <row r="292" spans="1:13" s="65" customFormat="1" ht="25.5" x14ac:dyDescent="0.2">
      <c r="A292" s="459"/>
      <c r="B292" s="459"/>
      <c r="C292" s="400" t="s">
        <v>931</v>
      </c>
      <c r="D292" s="716"/>
      <c r="E292" s="716"/>
      <c r="F292" s="712">
        <v>85000</v>
      </c>
      <c r="G292" s="712"/>
      <c r="H292" s="712">
        <f t="shared" si="29"/>
        <v>85000</v>
      </c>
      <c r="I292" s="712">
        <v>0</v>
      </c>
      <c r="J292" s="712">
        <f t="shared" si="25"/>
        <v>0</v>
      </c>
      <c r="K292" s="902"/>
      <c r="L292" s="712">
        <f t="shared" si="26"/>
        <v>-85000</v>
      </c>
      <c r="M292" s="902">
        <f t="shared" si="28"/>
        <v>-1</v>
      </c>
    </row>
    <row r="293" spans="1:13" s="65" customFormat="1" x14ac:dyDescent="0.2">
      <c r="C293" s="507"/>
      <c r="D293" s="716"/>
      <c r="E293" s="716"/>
      <c r="F293" s="716">
        <v>0</v>
      </c>
      <c r="G293" s="716"/>
      <c r="H293" s="716">
        <f t="shared" si="29"/>
        <v>0</v>
      </c>
      <c r="I293" s="716">
        <v>0</v>
      </c>
      <c r="J293" s="716">
        <f t="shared" si="25"/>
        <v>0</v>
      </c>
      <c r="K293" s="897"/>
      <c r="L293" s="716">
        <f t="shared" si="26"/>
        <v>0</v>
      </c>
      <c r="M293" s="897"/>
    </row>
    <row r="294" spans="1:13" x14ac:dyDescent="0.2">
      <c r="A294" s="65"/>
      <c r="B294" s="65"/>
      <c r="C294" s="325"/>
      <c r="D294" s="174"/>
      <c r="E294" s="174"/>
      <c r="F294" s="174">
        <v>0</v>
      </c>
      <c r="G294" s="174"/>
      <c r="H294" s="174">
        <f t="shared" si="29"/>
        <v>0</v>
      </c>
      <c r="I294" s="174">
        <v>0</v>
      </c>
      <c r="J294" s="174">
        <f t="shared" si="25"/>
        <v>0</v>
      </c>
      <c r="K294" s="903"/>
      <c r="L294" s="174">
        <f t="shared" si="26"/>
        <v>0</v>
      </c>
      <c r="M294" s="903"/>
    </row>
    <row r="295" spans="1:13" ht="15.75" x14ac:dyDescent="0.2">
      <c r="C295" s="114" t="s">
        <v>195</v>
      </c>
      <c r="D295" s="181"/>
      <c r="E295" s="181"/>
      <c r="F295" s="181">
        <v>0</v>
      </c>
      <c r="G295" s="181"/>
      <c r="H295" s="181">
        <f t="shared" si="29"/>
        <v>0</v>
      </c>
      <c r="I295" s="181">
        <v>0</v>
      </c>
      <c r="J295" s="181">
        <f t="shared" si="25"/>
        <v>0</v>
      </c>
      <c r="K295" s="872"/>
      <c r="L295" s="181">
        <f t="shared" si="26"/>
        <v>0</v>
      </c>
      <c r="M295" s="872"/>
    </row>
    <row r="296" spans="1:13" x14ac:dyDescent="0.2">
      <c r="C296" s="108"/>
      <c r="D296" s="179"/>
      <c r="E296" s="179"/>
      <c r="F296" s="179">
        <v>0</v>
      </c>
      <c r="G296" s="179"/>
      <c r="H296" s="179">
        <f t="shared" si="29"/>
        <v>0</v>
      </c>
      <c r="I296" s="179">
        <v>0</v>
      </c>
      <c r="J296" s="179">
        <f t="shared" si="25"/>
        <v>0</v>
      </c>
      <c r="K296" s="542"/>
      <c r="L296" s="179">
        <f t="shared" si="26"/>
        <v>0</v>
      </c>
      <c r="M296" s="542"/>
    </row>
    <row r="297" spans="1:13" x14ac:dyDescent="0.2">
      <c r="C297" s="100" t="s">
        <v>193</v>
      </c>
      <c r="D297" s="170">
        <f>D305+D308</f>
        <v>2461909</v>
      </c>
      <c r="E297" s="170"/>
      <c r="F297" s="488">
        <f>F305+F308</f>
        <v>3102</v>
      </c>
      <c r="G297" s="570">
        <f>G305+G308</f>
        <v>5620</v>
      </c>
      <c r="H297" s="570">
        <f t="shared" si="29"/>
        <v>2470631</v>
      </c>
      <c r="I297" s="570">
        <v>2334156</v>
      </c>
      <c r="J297" s="570">
        <f t="shared" si="25"/>
        <v>-127753</v>
      </c>
      <c r="K297" s="816">
        <f t="shared" si="27"/>
        <v>-5.1891844905721539E-2</v>
      </c>
      <c r="L297" s="570">
        <f t="shared" si="26"/>
        <v>-136475</v>
      </c>
      <c r="M297" s="816">
        <f t="shared" si="28"/>
        <v>-5.5238924792897034E-2</v>
      </c>
    </row>
    <row r="298" spans="1:13" x14ac:dyDescent="0.2">
      <c r="C298" s="101" t="s">
        <v>479</v>
      </c>
      <c r="D298" s="182">
        <v>67000</v>
      </c>
      <c r="E298" s="182"/>
      <c r="F298" s="491"/>
      <c r="G298" s="571"/>
      <c r="H298" s="571">
        <f t="shared" si="29"/>
        <v>67000</v>
      </c>
      <c r="I298" s="571">
        <v>60000</v>
      </c>
      <c r="J298" s="571">
        <f t="shared" si="25"/>
        <v>-7000</v>
      </c>
      <c r="K298" s="529">
        <f t="shared" si="27"/>
        <v>-0.1044776119402985</v>
      </c>
      <c r="L298" s="571">
        <f t="shared" si="26"/>
        <v>-7000</v>
      </c>
      <c r="M298" s="529">
        <f t="shared" si="28"/>
        <v>-0.1044776119402985</v>
      </c>
    </row>
    <row r="299" spans="1:13" x14ac:dyDescent="0.2">
      <c r="C299" s="107" t="s">
        <v>116</v>
      </c>
      <c r="D299" s="183">
        <f>SUM(D300:D302)</f>
        <v>2461909</v>
      </c>
      <c r="E299" s="183"/>
      <c r="F299" s="183">
        <f>SUM(F300:F302)</f>
        <v>3102</v>
      </c>
      <c r="G299" s="570">
        <f>SUM(G300:G302)</f>
        <v>5620</v>
      </c>
      <c r="H299" s="570">
        <f t="shared" si="29"/>
        <v>2470631</v>
      </c>
      <c r="I299" s="570">
        <v>2334156</v>
      </c>
      <c r="J299" s="570">
        <f t="shared" si="25"/>
        <v>-127753</v>
      </c>
      <c r="K299" s="816">
        <f t="shared" si="27"/>
        <v>-5.1891844905721539E-2</v>
      </c>
      <c r="L299" s="570">
        <f t="shared" si="26"/>
        <v>-136475</v>
      </c>
      <c r="M299" s="816">
        <f t="shared" si="28"/>
        <v>-5.5238924792897034E-2</v>
      </c>
    </row>
    <row r="300" spans="1:13" x14ac:dyDescent="0.2">
      <c r="C300" s="102" t="s">
        <v>117</v>
      </c>
      <c r="D300" s="182">
        <f>'2.2 OMATULUD'!B47</f>
        <v>287801</v>
      </c>
      <c r="E300" s="182"/>
      <c r="F300" s="491">
        <v>-89593</v>
      </c>
      <c r="G300" s="571"/>
      <c r="H300" s="571">
        <f t="shared" si="29"/>
        <v>198208</v>
      </c>
      <c r="I300" s="571">
        <v>265541</v>
      </c>
      <c r="J300" s="571">
        <f t="shared" si="25"/>
        <v>-22260</v>
      </c>
      <c r="K300" s="529">
        <f t="shared" si="27"/>
        <v>-7.7345109989193916E-2</v>
      </c>
      <c r="L300" s="571">
        <f t="shared" si="26"/>
        <v>67333</v>
      </c>
      <c r="M300" s="529">
        <f t="shared" si="28"/>
        <v>0.33970879076525667</v>
      </c>
    </row>
    <row r="301" spans="1:13" x14ac:dyDescent="0.2">
      <c r="C301" s="95" t="s">
        <v>0</v>
      </c>
      <c r="D301" s="182">
        <v>585728</v>
      </c>
      <c r="E301" s="182"/>
      <c r="F301" s="491">
        <v>-25360</v>
      </c>
      <c r="G301" s="571"/>
      <c r="H301" s="571">
        <f t="shared" si="29"/>
        <v>560368</v>
      </c>
      <c r="I301" s="571">
        <v>464368</v>
      </c>
      <c r="J301" s="571">
        <f t="shared" si="25"/>
        <v>-121360</v>
      </c>
      <c r="K301" s="529">
        <f t="shared" si="27"/>
        <v>-0.20719514860139859</v>
      </c>
      <c r="L301" s="571">
        <f t="shared" si="26"/>
        <v>-96000</v>
      </c>
      <c r="M301" s="529">
        <f t="shared" si="28"/>
        <v>-0.17131599234788566</v>
      </c>
    </row>
    <row r="302" spans="1:13" s="6" customFormat="1" x14ac:dyDescent="0.2">
      <c r="A302" s="503"/>
      <c r="B302" s="503"/>
      <c r="C302" s="95" t="s">
        <v>118</v>
      </c>
      <c r="D302" s="182">
        <f>D297-D300-D301</f>
        <v>1588380</v>
      </c>
      <c r="E302" s="182"/>
      <c r="F302" s="491">
        <f>F297-F300-F301</f>
        <v>118055</v>
      </c>
      <c r="G302" s="571">
        <f>G297-G300-G301</f>
        <v>5620</v>
      </c>
      <c r="H302" s="571">
        <f t="shared" si="29"/>
        <v>1712055</v>
      </c>
      <c r="I302" s="571">
        <v>1604247</v>
      </c>
      <c r="J302" s="571">
        <f t="shared" si="25"/>
        <v>15867</v>
      </c>
      <c r="K302" s="529">
        <f t="shared" si="27"/>
        <v>9.9894231858875075E-3</v>
      </c>
      <c r="L302" s="571">
        <f t="shared" si="26"/>
        <v>-107808</v>
      </c>
      <c r="M302" s="529">
        <f t="shared" si="28"/>
        <v>-6.2969939633948674E-2</v>
      </c>
    </row>
    <row r="303" spans="1:13" x14ac:dyDescent="0.2">
      <c r="A303" s="459"/>
      <c r="B303" s="459"/>
      <c r="C303" s="473" t="s">
        <v>909</v>
      </c>
      <c r="D303" s="474">
        <f>D306</f>
        <v>761481</v>
      </c>
      <c r="E303" s="474"/>
      <c r="F303" s="474">
        <f>F306</f>
        <v>13973</v>
      </c>
      <c r="G303" s="572">
        <f>G306</f>
        <v>11550</v>
      </c>
      <c r="H303" s="572">
        <f t="shared" si="29"/>
        <v>787004</v>
      </c>
      <c r="I303" s="572">
        <v>706614</v>
      </c>
      <c r="J303" s="572">
        <f t="shared" si="25"/>
        <v>-54867</v>
      </c>
      <c r="K303" s="877">
        <f t="shared" si="27"/>
        <v>-7.205301248488144E-2</v>
      </c>
      <c r="L303" s="572">
        <f t="shared" si="26"/>
        <v>-80390</v>
      </c>
      <c r="M303" s="877">
        <f t="shared" si="28"/>
        <v>-0.10214687600063024</v>
      </c>
    </row>
    <row r="304" spans="1:13" x14ac:dyDescent="0.2">
      <c r="C304" s="108"/>
      <c r="D304" s="179"/>
      <c r="E304" s="179"/>
      <c r="F304" s="179">
        <v>0</v>
      </c>
      <c r="G304" s="577"/>
      <c r="H304" s="577">
        <f t="shared" si="29"/>
        <v>0</v>
      </c>
      <c r="I304" s="577">
        <v>0</v>
      </c>
      <c r="J304" s="577">
        <f t="shared" si="25"/>
        <v>0</v>
      </c>
      <c r="K304" s="757"/>
      <c r="L304" s="577">
        <f t="shared" si="26"/>
        <v>0</v>
      </c>
      <c r="M304" s="757"/>
    </row>
    <row r="305" spans="1:13" x14ac:dyDescent="0.2">
      <c r="A305" s="459" t="s">
        <v>862</v>
      </c>
      <c r="B305" s="459" t="s">
        <v>195</v>
      </c>
      <c r="C305" s="292" t="s">
        <v>434</v>
      </c>
      <c r="D305" s="118">
        <v>1218909</v>
      </c>
      <c r="E305" s="118"/>
      <c r="F305" s="477">
        <v>3102</v>
      </c>
      <c r="G305" s="566">
        <v>5620</v>
      </c>
      <c r="H305" s="566">
        <f t="shared" si="29"/>
        <v>1227631</v>
      </c>
      <c r="I305" s="566">
        <v>1091156</v>
      </c>
      <c r="J305" s="566">
        <f t="shared" si="25"/>
        <v>-127753</v>
      </c>
      <c r="K305" s="816">
        <f t="shared" si="27"/>
        <v>-0.10480930077634999</v>
      </c>
      <c r="L305" s="566">
        <f t="shared" si="26"/>
        <v>-136475</v>
      </c>
      <c r="M305" s="816">
        <f t="shared" si="28"/>
        <v>-0.11116939862222443</v>
      </c>
    </row>
    <row r="306" spans="1:13" s="56" customFormat="1" x14ac:dyDescent="0.2">
      <c r="A306" s="503"/>
      <c r="B306" s="503"/>
      <c r="C306" s="98" t="s">
        <v>119</v>
      </c>
      <c r="D306" s="489">
        <v>761481</v>
      </c>
      <c r="E306" s="145"/>
      <c r="F306" s="489">
        <v>13973</v>
      </c>
      <c r="G306" s="781">
        <v>11550</v>
      </c>
      <c r="H306" s="567">
        <f t="shared" si="29"/>
        <v>787004</v>
      </c>
      <c r="I306" s="567">
        <v>706614</v>
      </c>
      <c r="J306" s="567">
        <f t="shared" si="25"/>
        <v>-54867</v>
      </c>
      <c r="K306" s="878">
        <f t="shared" si="27"/>
        <v>-7.205301248488144E-2</v>
      </c>
      <c r="L306" s="567">
        <f t="shared" si="26"/>
        <v>-80390</v>
      </c>
      <c r="M306" s="878">
        <f t="shared" si="28"/>
        <v>-0.10214687600063024</v>
      </c>
    </row>
    <row r="307" spans="1:13" s="56" customFormat="1" x14ac:dyDescent="0.2">
      <c r="A307" s="503"/>
      <c r="B307" s="503"/>
      <c r="C307" s="344"/>
      <c r="D307" s="189"/>
      <c r="E307" s="189"/>
      <c r="F307" s="189">
        <v>0</v>
      </c>
      <c r="G307" s="600"/>
      <c r="H307" s="600">
        <f t="shared" si="29"/>
        <v>0</v>
      </c>
      <c r="I307" s="600">
        <v>0</v>
      </c>
      <c r="J307" s="600">
        <f t="shared" si="25"/>
        <v>0</v>
      </c>
      <c r="K307" s="635"/>
      <c r="L307" s="600">
        <f t="shared" si="26"/>
        <v>0</v>
      </c>
      <c r="M307" s="635"/>
    </row>
    <row r="308" spans="1:13" s="56" customFormat="1" x14ac:dyDescent="0.2">
      <c r="A308" s="503"/>
      <c r="B308" s="503"/>
      <c r="C308" s="100" t="s">
        <v>197</v>
      </c>
      <c r="D308" s="118">
        <f>D310</f>
        <v>1243000</v>
      </c>
      <c r="E308" s="118"/>
      <c r="F308" s="477">
        <v>0</v>
      </c>
      <c r="G308" s="566"/>
      <c r="H308" s="566">
        <f t="shared" si="29"/>
        <v>1243000</v>
      </c>
      <c r="I308" s="566">
        <v>1243000</v>
      </c>
      <c r="J308" s="566">
        <f t="shared" si="25"/>
        <v>0</v>
      </c>
      <c r="K308" s="816">
        <f t="shared" si="27"/>
        <v>0</v>
      </c>
      <c r="L308" s="566">
        <f t="shared" si="26"/>
        <v>0</v>
      </c>
      <c r="M308" s="816">
        <f t="shared" si="28"/>
        <v>0</v>
      </c>
    </row>
    <row r="309" spans="1:13" s="56" customFormat="1" x14ac:dyDescent="0.2">
      <c r="A309" s="503"/>
      <c r="B309" s="503"/>
      <c r="C309" s="100"/>
      <c r="D309" s="189"/>
      <c r="E309" s="189"/>
      <c r="F309" s="189">
        <v>0</v>
      </c>
      <c r="G309" s="600"/>
      <c r="H309" s="600">
        <f t="shared" si="29"/>
        <v>0</v>
      </c>
      <c r="I309" s="600">
        <v>0</v>
      </c>
      <c r="J309" s="600">
        <f t="shared" si="25"/>
        <v>0</v>
      </c>
      <c r="K309" s="635"/>
      <c r="L309" s="600">
        <f t="shared" si="26"/>
        <v>0</v>
      </c>
      <c r="M309" s="635"/>
    </row>
    <row r="310" spans="1:13" x14ac:dyDescent="0.2">
      <c r="A310" s="504" t="s">
        <v>866</v>
      </c>
      <c r="B310" s="459" t="s">
        <v>195</v>
      </c>
      <c r="C310" s="307" t="s">
        <v>946</v>
      </c>
      <c r="D310" s="202">
        <v>1243000</v>
      </c>
      <c r="E310" s="202"/>
      <c r="F310" s="493">
        <v>0</v>
      </c>
      <c r="G310" s="601"/>
      <c r="H310" s="601">
        <f t="shared" si="29"/>
        <v>1243000</v>
      </c>
      <c r="I310" s="601">
        <v>1243000</v>
      </c>
      <c r="J310" s="601">
        <f t="shared" si="25"/>
        <v>0</v>
      </c>
      <c r="K310" s="757">
        <f t="shared" si="27"/>
        <v>0</v>
      </c>
      <c r="L310" s="601">
        <f t="shared" si="26"/>
        <v>0</v>
      </c>
      <c r="M310" s="757">
        <f t="shared" si="28"/>
        <v>0</v>
      </c>
    </row>
    <row r="311" spans="1:13" x14ac:dyDescent="0.2">
      <c r="C311" s="344"/>
      <c r="D311" s="222"/>
      <c r="E311" s="222"/>
      <c r="F311" s="222">
        <v>0</v>
      </c>
      <c r="G311" s="222"/>
      <c r="H311" s="222">
        <f t="shared" si="29"/>
        <v>0</v>
      </c>
      <c r="I311" s="222">
        <v>0</v>
      </c>
      <c r="J311" s="222">
        <f t="shared" si="25"/>
        <v>0</v>
      </c>
      <c r="K311" s="904"/>
      <c r="L311" s="222">
        <f t="shared" si="26"/>
        <v>0</v>
      </c>
      <c r="M311" s="904"/>
    </row>
    <row r="312" spans="1:13" x14ac:dyDescent="0.2">
      <c r="C312" s="345"/>
      <c r="D312" s="189"/>
      <c r="E312" s="189"/>
      <c r="F312" s="189">
        <v>0</v>
      </c>
      <c r="G312" s="189"/>
      <c r="H312" s="189">
        <f t="shared" si="29"/>
        <v>0</v>
      </c>
      <c r="I312" s="189">
        <v>0</v>
      </c>
      <c r="J312" s="189">
        <f t="shared" si="25"/>
        <v>0</v>
      </c>
      <c r="K312" s="905"/>
      <c r="L312" s="189">
        <f t="shared" si="26"/>
        <v>0</v>
      </c>
      <c r="M312" s="905"/>
    </row>
    <row r="313" spans="1:13" ht="15.75" x14ac:dyDescent="0.2">
      <c r="C313" s="289" t="s">
        <v>120</v>
      </c>
      <c r="D313" s="176"/>
      <c r="E313" s="176"/>
      <c r="F313" s="176">
        <v>0</v>
      </c>
      <c r="G313" s="176"/>
      <c r="H313" s="176">
        <f t="shared" si="29"/>
        <v>0</v>
      </c>
      <c r="I313" s="176">
        <v>0</v>
      </c>
      <c r="J313" s="176">
        <f t="shared" si="25"/>
        <v>0</v>
      </c>
      <c r="K313" s="906"/>
      <c r="L313" s="176">
        <f t="shared" si="26"/>
        <v>0</v>
      </c>
      <c r="M313" s="906"/>
    </row>
    <row r="314" spans="1:13" x14ac:dyDescent="0.2">
      <c r="C314" s="100"/>
      <c r="D314" s="170"/>
      <c r="E314" s="170"/>
      <c r="F314" s="488">
        <v>0</v>
      </c>
      <c r="G314" s="488"/>
      <c r="H314" s="488">
        <f t="shared" si="29"/>
        <v>0</v>
      </c>
      <c r="I314" s="488">
        <v>0</v>
      </c>
      <c r="J314" s="488">
        <f t="shared" si="25"/>
        <v>0</v>
      </c>
      <c r="K314" s="865"/>
      <c r="L314" s="488">
        <f t="shared" si="26"/>
        <v>0</v>
      </c>
      <c r="M314" s="865"/>
    </row>
    <row r="315" spans="1:13" x14ac:dyDescent="0.2">
      <c r="C315" s="100" t="s">
        <v>193</v>
      </c>
      <c r="D315" s="170">
        <f>D325+D372+D364</f>
        <v>274419883</v>
      </c>
      <c r="E315" s="170"/>
      <c r="F315" s="488">
        <f>F325+F372+F364</f>
        <v>1295392</v>
      </c>
      <c r="G315" s="488">
        <f>G325+G372+G364</f>
        <v>-342124</v>
      </c>
      <c r="H315" s="488">
        <f t="shared" si="29"/>
        <v>275373151</v>
      </c>
      <c r="I315" s="488">
        <v>289197912</v>
      </c>
      <c r="J315" s="488">
        <f t="shared" si="25"/>
        <v>14778029</v>
      </c>
      <c r="K315" s="865">
        <f t="shared" si="27"/>
        <v>5.3851888713180453E-2</v>
      </c>
      <c r="L315" s="488">
        <f t="shared" si="26"/>
        <v>13824761</v>
      </c>
      <c r="M315" s="865">
        <f t="shared" si="28"/>
        <v>5.0203736093356467E-2</v>
      </c>
    </row>
    <row r="316" spans="1:13" x14ac:dyDescent="0.2">
      <c r="C316" s="101" t="s">
        <v>479</v>
      </c>
      <c r="D316" s="182">
        <v>9330606</v>
      </c>
      <c r="E316" s="182"/>
      <c r="F316" s="491">
        <v>350000</v>
      </c>
      <c r="G316" s="491"/>
      <c r="H316" s="491">
        <f t="shared" si="29"/>
        <v>9680606</v>
      </c>
      <c r="I316" s="491">
        <v>9661800</v>
      </c>
      <c r="J316" s="491">
        <f t="shared" si="25"/>
        <v>331194</v>
      </c>
      <c r="K316" s="866">
        <f t="shared" si="27"/>
        <v>3.5495443704299592E-2</v>
      </c>
      <c r="L316" s="491">
        <f t="shared" si="26"/>
        <v>-18806</v>
      </c>
      <c r="M316" s="866">
        <f t="shared" si="28"/>
        <v>-1.9426469789184686E-3</v>
      </c>
    </row>
    <row r="317" spans="1:13" x14ac:dyDescent="0.2">
      <c r="C317" s="329" t="s">
        <v>116</v>
      </c>
      <c r="D317" s="183">
        <f>SUM(D318:D322)</f>
        <v>274419883</v>
      </c>
      <c r="E317" s="183"/>
      <c r="F317" s="183">
        <f>SUM(F318:F322)</f>
        <v>1295392</v>
      </c>
      <c r="G317" s="183">
        <f>SUM(G318:G322)</f>
        <v>-342124</v>
      </c>
      <c r="H317" s="183">
        <f t="shared" si="29"/>
        <v>275373151</v>
      </c>
      <c r="I317" s="183">
        <v>289197912</v>
      </c>
      <c r="J317" s="183">
        <f t="shared" si="25"/>
        <v>14778029</v>
      </c>
      <c r="K317" s="528">
        <f t="shared" si="27"/>
        <v>5.3851888713180453E-2</v>
      </c>
      <c r="L317" s="183">
        <f t="shared" si="26"/>
        <v>13824761</v>
      </c>
      <c r="M317" s="528">
        <f t="shared" si="28"/>
        <v>5.0203736093356467E-2</v>
      </c>
    </row>
    <row r="318" spans="1:13" x14ac:dyDescent="0.2">
      <c r="C318" s="102" t="s">
        <v>117</v>
      </c>
      <c r="D318" s="182">
        <f>'2.2 OMATULUD'!B55</f>
        <v>32895770</v>
      </c>
      <c r="E318" s="182"/>
      <c r="F318" s="491">
        <f>'2.2 OMATULUD'!C55</f>
        <v>-7115750</v>
      </c>
      <c r="G318" s="491">
        <f>'2.2 OMATULUD'!D55</f>
        <v>-749900</v>
      </c>
      <c r="H318" s="491">
        <f t="shared" si="29"/>
        <v>25030120</v>
      </c>
      <c r="I318" s="491">
        <v>28946290</v>
      </c>
      <c r="J318" s="491">
        <f t="shared" si="25"/>
        <v>-3949480</v>
      </c>
      <c r="K318" s="866">
        <f t="shared" si="27"/>
        <v>-0.12006042114229276</v>
      </c>
      <c r="L318" s="491">
        <f t="shared" si="26"/>
        <v>3916170</v>
      </c>
      <c r="M318" s="866">
        <f t="shared" si="28"/>
        <v>0.15645829904131503</v>
      </c>
    </row>
    <row r="319" spans="1:13" x14ac:dyDescent="0.2">
      <c r="C319" s="95" t="s">
        <v>0</v>
      </c>
      <c r="D319" s="182">
        <v>107335046</v>
      </c>
      <c r="E319" s="182"/>
      <c r="F319" s="491">
        <v>2676546</v>
      </c>
      <c r="G319" s="491">
        <f>G331+G337+G344</f>
        <v>272018</v>
      </c>
      <c r="H319" s="491">
        <f t="shared" si="29"/>
        <v>110283610</v>
      </c>
      <c r="I319" s="491">
        <v>117509662</v>
      </c>
      <c r="J319" s="491">
        <f t="shared" si="25"/>
        <v>10174616</v>
      </c>
      <c r="K319" s="866">
        <f t="shared" si="27"/>
        <v>9.479304643890496E-2</v>
      </c>
      <c r="L319" s="491">
        <f t="shared" si="26"/>
        <v>7226052</v>
      </c>
      <c r="M319" s="866">
        <f t="shared" si="28"/>
        <v>6.5522447079851664E-2</v>
      </c>
    </row>
    <row r="320" spans="1:13" x14ac:dyDescent="0.2">
      <c r="C320" s="95" t="s">
        <v>105</v>
      </c>
      <c r="D320" s="182">
        <v>818080</v>
      </c>
      <c r="E320" s="182"/>
      <c r="F320" s="491"/>
      <c r="G320" s="491"/>
      <c r="H320" s="491">
        <f t="shared" si="29"/>
        <v>818080</v>
      </c>
      <c r="I320" s="491">
        <v>58515</v>
      </c>
      <c r="J320" s="491">
        <f t="shared" si="25"/>
        <v>-759565</v>
      </c>
      <c r="K320" s="866">
        <f t="shared" si="27"/>
        <v>-0.92847276549970659</v>
      </c>
      <c r="L320" s="491">
        <f t="shared" si="26"/>
        <v>-759565</v>
      </c>
      <c r="M320" s="866">
        <f t="shared" si="28"/>
        <v>-0.92847276549970659</v>
      </c>
    </row>
    <row r="321" spans="1:13" x14ac:dyDescent="0.2">
      <c r="C321" s="95" t="s">
        <v>676</v>
      </c>
      <c r="D321" s="182">
        <v>142324</v>
      </c>
      <c r="E321" s="182"/>
      <c r="F321" s="491"/>
      <c r="G321" s="491"/>
      <c r="H321" s="491">
        <f t="shared" si="29"/>
        <v>142324</v>
      </c>
      <c r="I321" s="491">
        <v>0</v>
      </c>
      <c r="J321" s="491">
        <f t="shared" si="25"/>
        <v>-142324</v>
      </c>
      <c r="K321" s="866">
        <f t="shared" si="27"/>
        <v>-1</v>
      </c>
      <c r="L321" s="491">
        <f t="shared" si="26"/>
        <v>-142324</v>
      </c>
      <c r="M321" s="866">
        <f t="shared" si="28"/>
        <v>-1</v>
      </c>
    </row>
    <row r="322" spans="1:13" s="6" customFormat="1" x14ac:dyDescent="0.2">
      <c r="A322" s="503"/>
      <c r="B322" s="503"/>
      <c r="C322" s="95" t="s">
        <v>118</v>
      </c>
      <c r="D322" s="182">
        <f>D315-D318-D319-D320-D321</f>
        <v>133228663</v>
      </c>
      <c r="E322" s="182"/>
      <c r="F322" s="491">
        <f>F315-F318-F319-F320-F321</f>
        <v>5734596</v>
      </c>
      <c r="G322" s="491">
        <f>G315-G318-G319-G320-G321</f>
        <v>135758</v>
      </c>
      <c r="H322" s="491">
        <f t="shared" si="29"/>
        <v>139099017</v>
      </c>
      <c r="I322" s="491">
        <v>142683445</v>
      </c>
      <c r="J322" s="491">
        <f t="shared" si="25"/>
        <v>9454782</v>
      </c>
      <c r="K322" s="866">
        <f t="shared" si="27"/>
        <v>7.0966575713515945E-2</v>
      </c>
      <c r="L322" s="491">
        <f t="shared" si="26"/>
        <v>3584428</v>
      </c>
      <c r="M322" s="866">
        <f t="shared" si="28"/>
        <v>2.5768895261136172E-2</v>
      </c>
    </row>
    <row r="323" spans="1:13" x14ac:dyDescent="0.2">
      <c r="A323" s="459"/>
      <c r="B323" s="459"/>
      <c r="C323" s="473" t="s">
        <v>909</v>
      </c>
      <c r="D323" s="474">
        <f>D327+D334+D342+D347+D352+D366+D375+D380+D390+D403+D426+D431+D436</f>
        <v>151874553</v>
      </c>
      <c r="E323" s="474"/>
      <c r="F323" s="474">
        <f>F327+F334+F342+F347+F352+F366+F375+F380+F390+F403+F426+F431+F436</f>
        <v>1939226</v>
      </c>
      <c r="G323" s="474">
        <f>G327+G334+G342+G347+G352+G366+G375+G380+G390+G403+G426+G431+G436+G387+G408</f>
        <v>134024</v>
      </c>
      <c r="H323" s="474">
        <f t="shared" si="29"/>
        <v>153947803</v>
      </c>
      <c r="I323" s="474">
        <v>163751290</v>
      </c>
      <c r="J323" s="474">
        <f t="shared" si="25"/>
        <v>11876737</v>
      </c>
      <c r="K323" s="867">
        <f t="shared" si="27"/>
        <v>7.8200967610419891E-2</v>
      </c>
      <c r="L323" s="474">
        <f t="shared" si="26"/>
        <v>9803487</v>
      </c>
      <c r="M323" s="867">
        <f t="shared" si="28"/>
        <v>6.3680590492090364E-2</v>
      </c>
    </row>
    <row r="324" spans="1:13" x14ac:dyDescent="0.2">
      <c r="C324" s="6"/>
      <c r="D324" s="10"/>
      <c r="E324" s="10"/>
      <c r="F324" s="10">
        <v>0</v>
      </c>
      <c r="G324" s="10"/>
      <c r="H324" s="10">
        <f t="shared" si="29"/>
        <v>0</v>
      </c>
      <c r="I324" s="10">
        <v>0</v>
      </c>
      <c r="J324" s="10">
        <f t="shared" si="25"/>
        <v>0</v>
      </c>
      <c r="K324" s="907"/>
      <c r="L324" s="10">
        <f t="shared" si="26"/>
        <v>0</v>
      </c>
      <c r="M324" s="907"/>
    </row>
    <row r="325" spans="1:13" ht="15" x14ac:dyDescent="0.2">
      <c r="A325" s="459" t="s">
        <v>863</v>
      </c>
      <c r="B325" s="459" t="s">
        <v>120</v>
      </c>
      <c r="C325" s="291" t="s">
        <v>316</v>
      </c>
      <c r="D325" s="192">
        <f>D326+D333+D341+D346+D351</f>
        <v>269173052</v>
      </c>
      <c r="E325" s="192"/>
      <c r="F325" s="478">
        <f>F326+F333+F341+F346+F351</f>
        <v>1132438</v>
      </c>
      <c r="G325" s="478">
        <f>G326+G333+G341+G346+G351</f>
        <v>-311201</v>
      </c>
      <c r="H325" s="478">
        <f t="shared" si="29"/>
        <v>269994289</v>
      </c>
      <c r="I325" s="478">
        <v>284961328</v>
      </c>
      <c r="J325" s="478">
        <f t="shared" si="25"/>
        <v>15788276</v>
      </c>
      <c r="K325" s="908">
        <f t="shared" si="27"/>
        <v>5.8654742303103954E-2</v>
      </c>
      <c r="L325" s="478">
        <f t="shared" si="26"/>
        <v>14967039</v>
      </c>
      <c r="M325" s="908">
        <f t="shared" si="28"/>
        <v>5.5434650323288877E-2</v>
      </c>
    </row>
    <row r="326" spans="1:13" x14ac:dyDescent="0.2">
      <c r="C326" s="292" t="s">
        <v>317</v>
      </c>
      <c r="D326" s="118">
        <v>101630863</v>
      </c>
      <c r="E326" s="118">
        <v>0</v>
      </c>
      <c r="F326" s="566">
        <v>-1557777</v>
      </c>
      <c r="G326" s="566">
        <v>-407609</v>
      </c>
      <c r="H326" s="477">
        <v>99665477</v>
      </c>
      <c r="I326" s="477">
        <v>103909482</v>
      </c>
      <c r="J326" s="477">
        <f t="shared" si="25"/>
        <v>2278619</v>
      </c>
      <c r="K326" s="909">
        <f t="shared" si="27"/>
        <v>2.2420541681319777E-2</v>
      </c>
      <c r="L326" s="477">
        <f t="shared" si="26"/>
        <v>4244005</v>
      </c>
      <c r="M326" s="909">
        <f t="shared" si="28"/>
        <v>4.2582498250622929E-2</v>
      </c>
    </row>
    <row r="327" spans="1:13" x14ac:dyDescent="0.2">
      <c r="C327" s="98" t="s">
        <v>119</v>
      </c>
      <c r="D327" s="489">
        <v>59362777</v>
      </c>
      <c r="E327" s="145">
        <v>0</v>
      </c>
      <c r="F327" s="567">
        <v>-285857</v>
      </c>
      <c r="G327" s="781">
        <v>-520373</v>
      </c>
      <c r="H327" s="489">
        <v>58556547</v>
      </c>
      <c r="I327" s="489">
        <v>61562216</v>
      </c>
      <c r="J327" s="489">
        <f t="shared" si="25"/>
        <v>2199439</v>
      </c>
      <c r="K327" s="869">
        <f t="shared" si="27"/>
        <v>3.7050810476740331E-2</v>
      </c>
      <c r="L327" s="489">
        <f t="shared" si="26"/>
        <v>3005669</v>
      </c>
      <c r="M327" s="869">
        <f t="shared" si="28"/>
        <v>5.1329341533748567E-2</v>
      </c>
    </row>
    <row r="328" spans="1:13" x14ac:dyDescent="0.2">
      <c r="C328" s="346" t="s">
        <v>318</v>
      </c>
      <c r="D328" s="145">
        <v>368160</v>
      </c>
      <c r="E328" s="145">
        <v>0</v>
      </c>
      <c r="F328" s="567">
        <v>70</v>
      </c>
      <c r="G328" s="567">
        <v>320</v>
      </c>
      <c r="H328" s="489">
        <v>368550</v>
      </c>
      <c r="I328" s="489">
        <v>379000</v>
      </c>
      <c r="J328" s="489">
        <f t="shared" si="25"/>
        <v>10840</v>
      </c>
      <c r="K328" s="869">
        <f t="shared" si="27"/>
        <v>2.9443720121686223E-2</v>
      </c>
      <c r="L328" s="489">
        <f t="shared" si="26"/>
        <v>10450</v>
      </c>
      <c r="M328" s="869">
        <f t="shared" si="28"/>
        <v>2.8354361687695021E-2</v>
      </c>
    </row>
    <row r="329" spans="1:13" s="486" customFormat="1" x14ac:dyDescent="0.2">
      <c r="A329" s="503"/>
      <c r="B329" s="503"/>
      <c r="C329" s="346" t="s">
        <v>319</v>
      </c>
      <c r="D329" s="145">
        <v>248695</v>
      </c>
      <c r="E329" s="145">
        <v>0</v>
      </c>
      <c r="F329" s="489">
        <v>0</v>
      </c>
      <c r="G329" s="489"/>
      <c r="H329" s="489">
        <v>248695</v>
      </c>
      <c r="I329" s="489">
        <v>265827</v>
      </c>
      <c r="J329" s="489">
        <f t="shared" si="25"/>
        <v>17132</v>
      </c>
      <c r="K329" s="869">
        <f t="shared" si="27"/>
        <v>6.8887593236695549E-2</v>
      </c>
      <c r="L329" s="489">
        <f t="shared" si="26"/>
        <v>17132</v>
      </c>
      <c r="M329" s="869">
        <f t="shared" si="28"/>
        <v>6.8887593236695549E-2</v>
      </c>
    </row>
    <row r="330" spans="1:13" x14ac:dyDescent="0.2">
      <c r="C330" s="347"/>
      <c r="D330" s="439"/>
      <c r="E330" s="439"/>
      <c r="F330" s="439">
        <v>0</v>
      </c>
      <c r="G330" s="439"/>
      <c r="H330" s="439">
        <f t="shared" si="29"/>
        <v>0</v>
      </c>
      <c r="I330" s="439">
        <v>0</v>
      </c>
      <c r="J330" s="439">
        <f t="shared" ref="J330:J341" si="30">I330-D330</f>
        <v>0</v>
      </c>
      <c r="K330" s="910"/>
      <c r="L330" s="439">
        <f t="shared" ref="L330:L341" si="31">I330-H330</f>
        <v>0</v>
      </c>
      <c r="M330" s="910"/>
    </row>
    <row r="331" spans="1:13" s="56" customFormat="1" ht="24" x14ac:dyDescent="0.2">
      <c r="A331" s="503"/>
      <c r="B331" s="503"/>
      <c r="C331" s="299" t="s">
        <v>677</v>
      </c>
      <c r="D331" s="196">
        <v>2300020</v>
      </c>
      <c r="E331" s="196"/>
      <c r="F331" s="495">
        <v>47124</v>
      </c>
      <c r="G331" s="495"/>
      <c r="H331" s="495">
        <v>2347144</v>
      </c>
      <c r="I331" s="495">
        <v>2347144</v>
      </c>
      <c r="J331" s="495">
        <f t="shared" si="30"/>
        <v>47124</v>
      </c>
      <c r="K331" s="888">
        <f t="shared" ref="K331:K341" si="32">J331/D331</f>
        <v>2.0488517491152252E-2</v>
      </c>
      <c r="L331" s="495">
        <f t="shared" si="31"/>
        <v>0</v>
      </c>
      <c r="M331" s="888">
        <f t="shared" ref="M331:M341" si="33">L331/H331</f>
        <v>0</v>
      </c>
    </row>
    <row r="332" spans="1:13" x14ac:dyDescent="0.2">
      <c r="C332" s="347"/>
      <c r="D332" s="439"/>
      <c r="E332" s="439"/>
      <c r="F332" s="439">
        <v>0</v>
      </c>
      <c r="G332" s="439"/>
      <c r="H332" s="439">
        <f t="shared" si="29"/>
        <v>0</v>
      </c>
      <c r="I332" s="439">
        <v>0</v>
      </c>
      <c r="J332" s="439">
        <f t="shared" si="30"/>
        <v>0</v>
      </c>
      <c r="K332" s="910"/>
      <c r="L332" s="439">
        <f t="shared" si="31"/>
        <v>0</v>
      </c>
      <c r="M332" s="910"/>
    </row>
    <row r="333" spans="1:13" x14ac:dyDescent="0.2">
      <c r="C333" s="292" t="s">
        <v>914</v>
      </c>
      <c r="D333" s="566">
        <v>154592374</v>
      </c>
      <c r="E333" s="566">
        <v>0</v>
      </c>
      <c r="F333" s="566">
        <v>2751037</v>
      </c>
      <c r="G333" s="566">
        <v>94545</v>
      </c>
      <c r="H333" s="477">
        <v>157437956</v>
      </c>
      <c r="I333" s="477">
        <v>167523887</v>
      </c>
      <c r="J333" s="477">
        <f t="shared" si="30"/>
        <v>12931513</v>
      </c>
      <c r="K333" s="909">
        <f t="shared" si="32"/>
        <v>8.3649100310730723E-2</v>
      </c>
      <c r="L333" s="477">
        <f t="shared" si="31"/>
        <v>10085931</v>
      </c>
      <c r="M333" s="909">
        <f t="shared" si="33"/>
        <v>6.4062893448642078E-2</v>
      </c>
    </row>
    <row r="334" spans="1:13" x14ac:dyDescent="0.2">
      <c r="C334" s="98" t="s">
        <v>119</v>
      </c>
      <c r="D334" s="728">
        <v>82778352</v>
      </c>
      <c r="E334" s="567">
        <v>0</v>
      </c>
      <c r="F334" s="567">
        <v>2178236</v>
      </c>
      <c r="G334" s="781">
        <v>687449</v>
      </c>
      <c r="H334" s="489">
        <v>85644037</v>
      </c>
      <c r="I334" s="489">
        <v>92041953</v>
      </c>
      <c r="J334" s="489">
        <f t="shared" si="30"/>
        <v>9263601</v>
      </c>
      <c r="K334" s="869">
        <f t="shared" si="32"/>
        <v>0.11190849752601985</v>
      </c>
      <c r="L334" s="489">
        <f t="shared" si="31"/>
        <v>6397916</v>
      </c>
      <c r="M334" s="869">
        <f t="shared" si="33"/>
        <v>7.4703578020265435E-2</v>
      </c>
    </row>
    <row r="335" spans="1:13" s="486" customFormat="1" x14ac:dyDescent="0.2">
      <c r="A335" s="503"/>
      <c r="B335" s="503"/>
      <c r="C335" s="348" t="s">
        <v>320</v>
      </c>
      <c r="D335" s="567">
        <v>3247770</v>
      </c>
      <c r="E335" s="567">
        <v>0</v>
      </c>
      <c r="F335" s="567">
        <v>0</v>
      </c>
      <c r="G335" s="567">
        <v>0</v>
      </c>
      <c r="H335" s="489">
        <v>3247770</v>
      </c>
      <c r="I335" s="489">
        <v>3173334</v>
      </c>
      <c r="J335" s="489">
        <f t="shared" si="30"/>
        <v>-74436</v>
      </c>
      <c r="K335" s="869">
        <f t="shared" si="32"/>
        <v>-2.2919110651308437E-2</v>
      </c>
      <c r="L335" s="489">
        <f t="shared" si="31"/>
        <v>-74436</v>
      </c>
      <c r="M335" s="869">
        <f t="shared" si="33"/>
        <v>-2.2919110651308437E-2</v>
      </c>
    </row>
    <row r="336" spans="1:13" x14ac:dyDescent="0.2">
      <c r="C336" s="348"/>
      <c r="D336" s="489"/>
      <c r="E336" s="489"/>
      <c r="F336" s="489">
        <v>0</v>
      </c>
      <c r="G336" s="489"/>
      <c r="H336" s="489">
        <f t="shared" ref="H336:H345" si="34">D336+E336+F336+G336</f>
        <v>0</v>
      </c>
      <c r="I336" s="489">
        <v>0</v>
      </c>
      <c r="J336" s="489">
        <f t="shared" si="30"/>
        <v>0</v>
      </c>
      <c r="K336" s="869"/>
      <c r="L336" s="489">
        <f t="shared" si="31"/>
        <v>0</v>
      </c>
      <c r="M336" s="869"/>
    </row>
    <row r="337" spans="1:13" s="486" customFormat="1" ht="24" x14ac:dyDescent="0.2">
      <c r="A337" s="503"/>
      <c r="B337" s="503"/>
      <c r="C337" s="299" t="s">
        <v>677</v>
      </c>
      <c r="D337" s="568">
        <v>104668090</v>
      </c>
      <c r="E337" s="196"/>
      <c r="F337" s="568">
        <v>2629422</v>
      </c>
      <c r="G337" s="568">
        <v>271165</v>
      </c>
      <c r="H337" s="495">
        <v>107568677</v>
      </c>
      <c r="I337" s="495">
        <v>114922218</v>
      </c>
      <c r="J337" s="495">
        <f t="shared" si="30"/>
        <v>10254128</v>
      </c>
      <c r="K337" s="888">
        <f t="shared" si="32"/>
        <v>9.796804355558604E-2</v>
      </c>
      <c r="L337" s="495">
        <f t="shared" si="31"/>
        <v>7353541</v>
      </c>
      <c r="M337" s="888">
        <f t="shared" si="33"/>
        <v>6.8361359506169256E-2</v>
      </c>
    </row>
    <row r="338" spans="1:13" s="486" customFormat="1" x14ac:dyDescent="0.2">
      <c r="A338" s="503"/>
      <c r="B338" s="503"/>
      <c r="C338" s="299"/>
      <c r="D338" s="495"/>
      <c r="E338" s="495"/>
      <c r="F338" s="495">
        <v>0</v>
      </c>
      <c r="G338" s="495"/>
      <c r="H338" s="495">
        <v>0</v>
      </c>
      <c r="I338" s="495">
        <v>0</v>
      </c>
      <c r="J338" s="495">
        <f t="shared" si="30"/>
        <v>0</v>
      </c>
      <c r="K338" s="888"/>
      <c r="L338" s="495">
        <f t="shared" si="31"/>
        <v>0</v>
      </c>
      <c r="M338" s="888"/>
    </row>
    <row r="339" spans="1:13" s="56" customFormat="1" x14ac:dyDescent="0.2">
      <c r="A339" s="503"/>
      <c r="B339" s="503"/>
      <c r="C339" s="299" t="s">
        <v>915</v>
      </c>
      <c r="D339" s="495"/>
      <c r="E339" s="495"/>
      <c r="F339" s="495">
        <v>500000</v>
      </c>
      <c r="G339" s="495"/>
      <c r="H339" s="495">
        <f t="shared" si="34"/>
        <v>500000</v>
      </c>
      <c r="I339" s="495"/>
      <c r="J339" s="495">
        <f t="shared" si="30"/>
        <v>0</v>
      </c>
      <c r="K339" s="888"/>
      <c r="L339" s="495">
        <f t="shared" si="31"/>
        <v>-500000</v>
      </c>
      <c r="M339" s="888">
        <f t="shared" si="33"/>
        <v>-1</v>
      </c>
    </row>
    <row r="340" spans="1:13" x14ac:dyDescent="0.2">
      <c r="C340" s="347"/>
      <c r="D340" s="439"/>
      <c r="E340" s="439"/>
      <c r="F340" s="439">
        <v>0</v>
      </c>
      <c r="G340" s="439"/>
      <c r="H340" s="439">
        <f t="shared" si="34"/>
        <v>0</v>
      </c>
      <c r="I340" s="439">
        <v>0</v>
      </c>
      <c r="J340" s="439">
        <f t="shared" si="30"/>
        <v>0</v>
      </c>
      <c r="K340" s="910"/>
      <c r="L340" s="439">
        <f t="shared" si="31"/>
        <v>0</v>
      </c>
      <c r="M340" s="910"/>
    </row>
    <row r="341" spans="1:13" x14ac:dyDescent="0.2">
      <c r="C341" s="292" t="s">
        <v>321</v>
      </c>
      <c r="D341" s="118">
        <v>473207</v>
      </c>
      <c r="E341" s="118"/>
      <c r="F341" s="477">
        <v>12403</v>
      </c>
      <c r="G341" s="566">
        <f>3000+853</f>
        <v>3853</v>
      </c>
      <c r="H341" s="477">
        <f t="shared" si="34"/>
        <v>489463</v>
      </c>
      <c r="I341" s="477">
        <v>487882</v>
      </c>
      <c r="J341" s="477">
        <f t="shared" si="30"/>
        <v>14675</v>
      </c>
      <c r="K341" s="909">
        <f t="shared" si="32"/>
        <v>3.1011798219383907E-2</v>
      </c>
      <c r="L341" s="477">
        <f t="shared" si="31"/>
        <v>-1581</v>
      </c>
      <c r="M341" s="909">
        <f t="shared" si="33"/>
        <v>-3.2300705058400736E-3</v>
      </c>
    </row>
    <row r="342" spans="1:13" s="56" customFormat="1" x14ac:dyDescent="0.2">
      <c r="A342" s="503"/>
      <c r="B342" s="503"/>
      <c r="C342" s="98" t="s">
        <v>119</v>
      </c>
      <c r="D342" s="489">
        <v>228460</v>
      </c>
      <c r="E342" s="145"/>
      <c r="F342" s="489">
        <v>2240</v>
      </c>
      <c r="G342" s="781">
        <v>-15000</v>
      </c>
      <c r="H342" s="489">
        <f t="shared" si="34"/>
        <v>215700</v>
      </c>
      <c r="I342" s="489">
        <v>234995</v>
      </c>
      <c r="J342" s="489">
        <f t="shared" ref="J342:J386" si="35">I342-D342</f>
        <v>6535</v>
      </c>
      <c r="K342" s="869">
        <f t="shared" ref="K342:K386" si="36">J342/D342</f>
        <v>2.8604569727742276E-2</v>
      </c>
      <c r="L342" s="489">
        <f t="shared" ref="L342:L386" si="37">I342-H342</f>
        <v>19295</v>
      </c>
      <c r="M342" s="869">
        <f t="shared" ref="M342:M386" si="38">L342/H342</f>
        <v>8.9452943903569768E-2</v>
      </c>
    </row>
    <row r="343" spans="1:13" s="486" customFormat="1" x14ac:dyDescent="0.2">
      <c r="A343" s="503"/>
      <c r="B343" s="503"/>
      <c r="C343" s="349"/>
      <c r="D343" s="180"/>
      <c r="E343" s="180"/>
      <c r="F343" s="180">
        <v>0</v>
      </c>
      <c r="G343" s="614"/>
      <c r="H343" s="180">
        <f t="shared" si="34"/>
        <v>0</v>
      </c>
      <c r="I343" s="180">
        <v>0</v>
      </c>
      <c r="J343" s="180">
        <f t="shared" si="35"/>
        <v>0</v>
      </c>
      <c r="K343" s="911"/>
      <c r="L343" s="180">
        <f t="shared" si="37"/>
        <v>0</v>
      </c>
      <c r="M343" s="911"/>
    </row>
    <row r="344" spans="1:13" s="486" customFormat="1" ht="24" x14ac:dyDescent="0.2">
      <c r="A344" s="503"/>
      <c r="B344" s="503"/>
      <c r="C344" s="299" t="s">
        <v>677</v>
      </c>
      <c r="D344" s="180"/>
      <c r="E344" s="180"/>
      <c r="F344" s="180"/>
      <c r="G344" s="568">
        <v>853</v>
      </c>
      <c r="H344" s="180">
        <f t="shared" si="34"/>
        <v>853</v>
      </c>
      <c r="I344" s="180">
        <v>0</v>
      </c>
      <c r="J344" s="180">
        <f t="shared" si="35"/>
        <v>0</v>
      </c>
      <c r="K344" s="911"/>
      <c r="L344" s="180">
        <f t="shared" si="37"/>
        <v>-853</v>
      </c>
      <c r="M344" s="911">
        <f t="shared" si="38"/>
        <v>-1</v>
      </c>
    </row>
    <row r="345" spans="1:13" x14ac:dyDescent="0.2">
      <c r="C345" s="349"/>
      <c r="D345" s="180"/>
      <c r="E345" s="180"/>
      <c r="F345" s="180"/>
      <c r="G345" s="180"/>
      <c r="H345" s="180">
        <f t="shared" si="34"/>
        <v>0</v>
      </c>
      <c r="I345" s="180">
        <v>0</v>
      </c>
      <c r="J345" s="180">
        <f t="shared" si="35"/>
        <v>0</v>
      </c>
      <c r="K345" s="911"/>
      <c r="L345" s="180">
        <f t="shared" si="37"/>
        <v>0</v>
      </c>
      <c r="M345" s="911"/>
    </row>
    <row r="346" spans="1:13" x14ac:dyDescent="0.2">
      <c r="C346" s="292" t="s">
        <v>322</v>
      </c>
      <c r="D346" s="118">
        <v>11240501</v>
      </c>
      <c r="E346" s="54">
        <v>0</v>
      </c>
      <c r="F346" s="566">
        <v>-73020</v>
      </c>
      <c r="G346" s="566">
        <v>-1990</v>
      </c>
      <c r="H346" s="477">
        <v>11165491</v>
      </c>
      <c r="I346" s="477">
        <v>11669316</v>
      </c>
      <c r="J346" s="477">
        <f t="shared" si="35"/>
        <v>428815</v>
      </c>
      <c r="K346" s="909">
        <f t="shared" si="36"/>
        <v>3.8149100293661288E-2</v>
      </c>
      <c r="L346" s="477">
        <f t="shared" si="37"/>
        <v>503825</v>
      </c>
      <c r="M346" s="909">
        <f t="shared" si="38"/>
        <v>4.5123407470392479E-2</v>
      </c>
    </row>
    <row r="347" spans="1:13" x14ac:dyDescent="0.2">
      <c r="C347" s="98" t="s">
        <v>119</v>
      </c>
      <c r="D347" s="489">
        <v>6993410</v>
      </c>
      <c r="E347" s="145"/>
      <c r="F347" s="567">
        <v>21805</v>
      </c>
      <c r="G347" s="567">
        <v>0</v>
      </c>
      <c r="H347" s="489">
        <v>7015215</v>
      </c>
      <c r="I347" s="489">
        <v>7383265</v>
      </c>
      <c r="J347" s="489">
        <f t="shared" si="35"/>
        <v>389855</v>
      </c>
      <c r="K347" s="869">
        <f t="shared" si="36"/>
        <v>5.5746052355002781E-2</v>
      </c>
      <c r="L347" s="489">
        <f t="shared" si="37"/>
        <v>368050</v>
      </c>
      <c r="M347" s="869">
        <f t="shared" si="38"/>
        <v>5.2464536012082306E-2</v>
      </c>
    </row>
    <row r="348" spans="1:13" x14ac:dyDescent="0.2">
      <c r="C348" s="346" t="s">
        <v>486</v>
      </c>
      <c r="D348" s="145">
        <v>117350</v>
      </c>
      <c r="E348" s="145"/>
      <c r="F348" s="567">
        <v>-2430</v>
      </c>
      <c r="G348" s="567">
        <v>0</v>
      </c>
      <c r="H348" s="489">
        <v>114920</v>
      </c>
      <c r="I348" s="489">
        <v>120974</v>
      </c>
      <c r="J348" s="489">
        <f t="shared" si="35"/>
        <v>3624</v>
      </c>
      <c r="K348" s="869">
        <f t="shared" si="36"/>
        <v>3.088197699190456E-2</v>
      </c>
      <c r="L348" s="489">
        <f t="shared" si="37"/>
        <v>6054</v>
      </c>
      <c r="M348" s="869">
        <f t="shared" si="38"/>
        <v>5.2680125304559691E-2</v>
      </c>
    </row>
    <row r="349" spans="1:13" s="486" customFormat="1" x14ac:dyDescent="0.2">
      <c r="A349" s="503"/>
      <c r="B349" s="503"/>
      <c r="C349" s="297" t="s">
        <v>119</v>
      </c>
      <c r="D349" s="489">
        <v>65400</v>
      </c>
      <c r="E349" s="145"/>
      <c r="F349" s="567">
        <v>5786</v>
      </c>
      <c r="G349" s="567">
        <v>0</v>
      </c>
      <c r="H349" s="489">
        <v>71186</v>
      </c>
      <c r="I349" s="489">
        <v>72500</v>
      </c>
      <c r="J349" s="489">
        <f t="shared" si="35"/>
        <v>7100</v>
      </c>
      <c r="K349" s="869">
        <f t="shared" si="36"/>
        <v>0.10856269113149847</v>
      </c>
      <c r="L349" s="489">
        <f t="shared" si="37"/>
        <v>1314</v>
      </c>
      <c r="M349" s="869">
        <f t="shared" si="38"/>
        <v>1.8458685696625742E-2</v>
      </c>
    </row>
    <row r="350" spans="1:13" x14ac:dyDescent="0.2">
      <c r="C350" s="297"/>
      <c r="D350" s="151">
        <v>0</v>
      </c>
      <c r="E350" s="151"/>
      <c r="F350" s="151">
        <v>0</v>
      </c>
      <c r="G350" s="151"/>
      <c r="H350" s="151">
        <f t="shared" ref="H350:H392" si="39">D350+E350+F350+G350</f>
        <v>0</v>
      </c>
      <c r="I350" s="151">
        <v>0</v>
      </c>
      <c r="J350" s="151">
        <f t="shared" si="35"/>
        <v>0</v>
      </c>
      <c r="K350" s="870"/>
      <c r="L350" s="151">
        <f t="shared" si="37"/>
        <v>0</v>
      </c>
      <c r="M350" s="870"/>
    </row>
    <row r="351" spans="1:13" x14ac:dyDescent="0.2">
      <c r="C351" s="292" t="s">
        <v>323</v>
      </c>
      <c r="D351" s="118">
        <f>D355+D359</f>
        <v>1236107</v>
      </c>
      <c r="E351" s="118"/>
      <c r="F351" s="477">
        <f>F355+F359</f>
        <v>-205</v>
      </c>
      <c r="G351" s="477"/>
      <c r="H351" s="477">
        <f t="shared" si="39"/>
        <v>1235902</v>
      </c>
      <c r="I351" s="477">
        <v>1370761</v>
      </c>
      <c r="J351" s="477">
        <f t="shared" si="35"/>
        <v>134654</v>
      </c>
      <c r="K351" s="909">
        <f t="shared" si="36"/>
        <v>0.1089339353308411</v>
      </c>
      <c r="L351" s="477">
        <f t="shared" si="37"/>
        <v>134859</v>
      </c>
      <c r="M351" s="909">
        <f t="shared" si="38"/>
        <v>0.10911787504187226</v>
      </c>
    </row>
    <row r="352" spans="1:13" x14ac:dyDescent="0.2">
      <c r="C352" s="98" t="s">
        <v>119</v>
      </c>
      <c r="D352" s="489">
        <f>D356+D360</f>
        <v>769345</v>
      </c>
      <c r="E352" s="145"/>
      <c r="F352" s="489">
        <f>F356+F360</f>
        <v>21040</v>
      </c>
      <c r="G352" s="489"/>
      <c r="H352" s="489">
        <f t="shared" si="39"/>
        <v>790385</v>
      </c>
      <c r="I352" s="489">
        <v>881652</v>
      </c>
      <c r="J352" s="489">
        <f t="shared" si="35"/>
        <v>112307</v>
      </c>
      <c r="K352" s="869">
        <f t="shared" si="36"/>
        <v>0.14597742235278061</v>
      </c>
      <c r="L352" s="489">
        <f t="shared" si="37"/>
        <v>91267</v>
      </c>
      <c r="M352" s="869">
        <f t="shared" si="38"/>
        <v>0.11547157397976936</v>
      </c>
    </row>
    <row r="353" spans="1:13" x14ac:dyDescent="0.2">
      <c r="C353" s="98"/>
      <c r="D353" s="145"/>
      <c r="E353" s="145"/>
      <c r="F353" s="489">
        <v>0</v>
      </c>
      <c r="G353" s="489"/>
      <c r="H353" s="489">
        <f t="shared" si="39"/>
        <v>0</v>
      </c>
      <c r="I353" s="489">
        <v>0</v>
      </c>
      <c r="J353" s="489">
        <f t="shared" si="35"/>
        <v>0</v>
      </c>
      <c r="K353" s="869"/>
      <c r="L353" s="489">
        <f t="shared" si="37"/>
        <v>0</v>
      </c>
      <c r="M353" s="869"/>
    </row>
    <row r="354" spans="1:13" x14ac:dyDescent="0.2">
      <c r="C354" s="105" t="s">
        <v>196</v>
      </c>
      <c r="D354" s="118"/>
      <c r="E354" s="118"/>
      <c r="F354" s="477">
        <v>0</v>
      </c>
      <c r="G354" s="477"/>
      <c r="H354" s="477">
        <f t="shared" si="39"/>
        <v>0</v>
      </c>
      <c r="I354" s="477">
        <v>0</v>
      </c>
      <c r="J354" s="477">
        <f t="shared" si="35"/>
        <v>0</v>
      </c>
      <c r="K354" s="909"/>
      <c r="L354" s="477">
        <f t="shared" si="37"/>
        <v>0</v>
      </c>
      <c r="M354" s="909"/>
    </row>
    <row r="355" spans="1:13" x14ac:dyDescent="0.2">
      <c r="C355" s="106" t="s">
        <v>324</v>
      </c>
      <c r="D355" s="194">
        <v>362641</v>
      </c>
      <c r="E355" s="194"/>
      <c r="F355" s="194">
        <v>-31201</v>
      </c>
      <c r="G355" s="194"/>
      <c r="H355" s="194">
        <f t="shared" si="39"/>
        <v>331440</v>
      </c>
      <c r="I355" s="194">
        <v>349830</v>
      </c>
      <c r="J355" s="194">
        <f t="shared" si="35"/>
        <v>-12811</v>
      </c>
      <c r="K355" s="887">
        <f t="shared" si="36"/>
        <v>-3.5326948690302527E-2</v>
      </c>
      <c r="L355" s="194">
        <f t="shared" si="37"/>
        <v>18390</v>
      </c>
      <c r="M355" s="887">
        <f t="shared" si="38"/>
        <v>5.5485155684286747E-2</v>
      </c>
    </row>
    <row r="356" spans="1:13" s="56" customFormat="1" x14ac:dyDescent="0.2">
      <c r="A356" s="503"/>
      <c r="B356" s="503"/>
      <c r="C356" s="103" t="s">
        <v>119</v>
      </c>
      <c r="D356" s="489">
        <v>144063</v>
      </c>
      <c r="E356" s="145"/>
      <c r="F356" s="489">
        <v>0</v>
      </c>
      <c r="G356" s="489"/>
      <c r="H356" s="489">
        <f t="shared" si="39"/>
        <v>144063</v>
      </c>
      <c r="I356" s="489">
        <v>144871</v>
      </c>
      <c r="J356" s="489">
        <f t="shared" si="35"/>
        <v>808</v>
      </c>
      <c r="K356" s="869">
        <f t="shared" si="36"/>
        <v>5.6086573235320661E-3</v>
      </c>
      <c r="L356" s="489">
        <f t="shared" si="37"/>
        <v>808</v>
      </c>
      <c r="M356" s="869">
        <f t="shared" si="38"/>
        <v>5.6086573235320661E-3</v>
      </c>
    </row>
    <row r="357" spans="1:13" x14ac:dyDescent="0.2">
      <c r="C357" s="6"/>
      <c r="D357" s="10"/>
      <c r="E357" s="10"/>
      <c r="F357" s="10">
        <v>0</v>
      </c>
      <c r="G357" s="10"/>
      <c r="H357" s="10">
        <f t="shared" si="39"/>
        <v>0</v>
      </c>
      <c r="I357" s="10">
        <v>0</v>
      </c>
      <c r="J357" s="10">
        <f t="shared" si="35"/>
        <v>0</v>
      </c>
      <c r="K357" s="907"/>
      <c r="L357" s="10">
        <f t="shared" si="37"/>
        <v>0</v>
      </c>
      <c r="M357" s="907"/>
    </row>
    <row r="358" spans="1:13" x14ac:dyDescent="0.2">
      <c r="C358" s="105" t="s">
        <v>196</v>
      </c>
      <c r="D358" s="118"/>
      <c r="E358" s="118"/>
      <c r="F358" s="477">
        <v>0</v>
      </c>
      <c r="G358" s="477"/>
      <c r="H358" s="477">
        <f t="shared" si="39"/>
        <v>0</v>
      </c>
      <c r="I358" s="477">
        <v>0</v>
      </c>
      <c r="J358" s="477">
        <f t="shared" si="35"/>
        <v>0</v>
      </c>
      <c r="K358" s="909"/>
      <c r="L358" s="477">
        <f t="shared" si="37"/>
        <v>0</v>
      </c>
      <c r="M358" s="909"/>
    </row>
    <row r="359" spans="1:13" x14ac:dyDescent="0.2">
      <c r="C359" s="106" t="s">
        <v>325</v>
      </c>
      <c r="D359" s="194">
        <v>873466</v>
      </c>
      <c r="E359" s="194"/>
      <c r="F359" s="194">
        <v>30996</v>
      </c>
      <c r="G359" s="194"/>
      <c r="H359" s="194">
        <v>904462</v>
      </c>
      <c r="I359" s="194">
        <v>1020931</v>
      </c>
      <c r="J359" s="194">
        <f t="shared" si="35"/>
        <v>147465</v>
      </c>
      <c r="K359" s="887">
        <f t="shared" si="36"/>
        <v>0.16882740713433608</v>
      </c>
      <c r="L359" s="194">
        <f t="shared" si="37"/>
        <v>116469</v>
      </c>
      <c r="M359" s="887">
        <f t="shared" si="38"/>
        <v>0.12877157912659681</v>
      </c>
    </row>
    <row r="360" spans="1:13" s="486" customFormat="1" x14ac:dyDescent="0.2">
      <c r="A360" s="503"/>
      <c r="B360" s="503"/>
      <c r="C360" s="103" t="s">
        <v>119</v>
      </c>
      <c r="D360" s="489">
        <v>625282</v>
      </c>
      <c r="E360" s="145"/>
      <c r="F360" s="567">
        <v>21040</v>
      </c>
      <c r="G360" s="567"/>
      <c r="H360" s="489">
        <v>646322</v>
      </c>
      <c r="I360" s="489">
        <v>736781</v>
      </c>
      <c r="J360" s="489">
        <f t="shared" si="35"/>
        <v>111499</v>
      </c>
      <c r="K360" s="869">
        <f t="shared" si="36"/>
        <v>0.1783179429441436</v>
      </c>
      <c r="L360" s="489">
        <f t="shared" si="37"/>
        <v>90459</v>
      </c>
      <c r="M360" s="869">
        <f t="shared" si="38"/>
        <v>0.13995964859621055</v>
      </c>
    </row>
    <row r="361" spans="1:13" x14ac:dyDescent="0.2">
      <c r="C361" s="565"/>
      <c r="D361" s="567"/>
      <c r="E361" s="567"/>
      <c r="F361" s="567"/>
      <c r="G361" s="567"/>
      <c r="H361" s="567">
        <f t="shared" si="39"/>
        <v>0</v>
      </c>
      <c r="I361" s="567">
        <v>0</v>
      </c>
      <c r="J361" s="567">
        <f t="shared" si="35"/>
        <v>0</v>
      </c>
      <c r="K361" s="878"/>
      <c r="L361" s="567">
        <f t="shared" si="37"/>
        <v>0</v>
      </c>
      <c r="M361" s="878"/>
    </row>
    <row r="362" spans="1:13" s="56" customFormat="1" ht="24" x14ac:dyDescent="0.2">
      <c r="A362" s="503"/>
      <c r="B362" s="503"/>
      <c r="C362" s="299" t="s">
        <v>677</v>
      </c>
      <c r="D362" s="196">
        <v>222125</v>
      </c>
      <c r="E362" s="196"/>
      <c r="F362" s="495">
        <v>0</v>
      </c>
      <c r="G362" s="495"/>
      <c r="H362" s="495">
        <v>222125</v>
      </c>
      <c r="I362" s="495">
        <v>240300</v>
      </c>
      <c r="J362" s="495">
        <f t="shared" si="35"/>
        <v>18175</v>
      </c>
      <c r="K362" s="888">
        <f t="shared" si="36"/>
        <v>8.1823297692740576E-2</v>
      </c>
      <c r="L362" s="495">
        <f t="shared" si="37"/>
        <v>18175</v>
      </c>
      <c r="M362" s="888">
        <f t="shared" si="38"/>
        <v>8.1823297692740576E-2</v>
      </c>
    </row>
    <row r="363" spans="1:13" s="56" customFormat="1" x14ac:dyDescent="0.2">
      <c r="A363" s="503"/>
      <c r="B363" s="503"/>
      <c r="C363" s="357"/>
      <c r="D363" s="145"/>
      <c r="E363" s="145"/>
      <c r="F363" s="489">
        <v>0</v>
      </c>
      <c r="G363" s="489"/>
      <c r="H363" s="489">
        <f t="shared" si="39"/>
        <v>0</v>
      </c>
      <c r="I363" s="489">
        <v>0</v>
      </c>
      <c r="J363" s="489">
        <f t="shared" si="35"/>
        <v>0</v>
      </c>
      <c r="K363" s="869"/>
      <c r="L363" s="489">
        <f t="shared" si="37"/>
        <v>0</v>
      </c>
      <c r="M363" s="869"/>
    </row>
    <row r="364" spans="1:13" s="56" customFormat="1" ht="15" x14ac:dyDescent="0.2">
      <c r="A364" s="459" t="s">
        <v>865</v>
      </c>
      <c r="B364" s="459" t="s">
        <v>120</v>
      </c>
      <c r="C364" s="291" t="s">
        <v>200</v>
      </c>
      <c r="D364" s="192">
        <f>D365</f>
        <v>500569</v>
      </c>
      <c r="E364" s="192"/>
      <c r="F364" s="478">
        <f>F365</f>
        <v>-227460</v>
      </c>
      <c r="G364" s="478">
        <f>G365</f>
        <v>-1911</v>
      </c>
      <c r="H364" s="478">
        <f t="shared" si="39"/>
        <v>271198</v>
      </c>
      <c r="I364" s="478">
        <v>58651</v>
      </c>
      <c r="J364" s="478">
        <f t="shared" si="35"/>
        <v>-441918</v>
      </c>
      <c r="K364" s="908">
        <f t="shared" si="36"/>
        <v>-0.88283133793742719</v>
      </c>
      <c r="L364" s="478">
        <f t="shared" si="37"/>
        <v>-212547</v>
      </c>
      <c r="M364" s="908">
        <f t="shared" si="38"/>
        <v>-0.78373365585291932</v>
      </c>
    </row>
    <row r="365" spans="1:13" s="56" customFormat="1" x14ac:dyDescent="0.2">
      <c r="A365" s="503"/>
      <c r="B365" s="503"/>
      <c r="C365" s="292" t="s">
        <v>782</v>
      </c>
      <c r="D365" s="118">
        <f>D369</f>
        <v>500569</v>
      </c>
      <c r="E365" s="118"/>
      <c r="F365" s="477">
        <f>F369</f>
        <v>-227460</v>
      </c>
      <c r="G365" s="477">
        <f>G369</f>
        <v>-1911</v>
      </c>
      <c r="H365" s="477">
        <f t="shared" si="39"/>
        <v>271198</v>
      </c>
      <c r="I365" s="477">
        <v>58651</v>
      </c>
      <c r="J365" s="477">
        <f t="shared" si="35"/>
        <v>-441918</v>
      </c>
      <c r="K365" s="909">
        <f t="shared" si="36"/>
        <v>-0.88283133793742719</v>
      </c>
      <c r="L365" s="477">
        <f t="shared" si="37"/>
        <v>-212547</v>
      </c>
      <c r="M365" s="909">
        <f t="shared" si="38"/>
        <v>-0.78373365585291932</v>
      </c>
    </row>
    <row r="366" spans="1:13" s="56" customFormat="1" x14ac:dyDescent="0.2">
      <c r="A366" s="503"/>
      <c r="B366" s="503"/>
      <c r="C366" s="98" t="s">
        <v>119</v>
      </c>
      <c r="D366" s="489">
        <f>D370</f>
        <v>325994</v>
      </c>
      <c r="E366" s="145"/>
      <c r="F366" s="489">
        <f>F370</f>
        <v>-170000</v>
      </c>
      <c r="G366" s="782">
        <f>G370</f>
        <v>-1428</v>
      </c>
      <c r="H366" s="489">
        <f t="shared" si="39"/>
        <v>154566</v>
      </c>
      <c r="I366" s="489">
        <v>0</v>
      </c>
      <c r="J366" s="489">
        <f t="shared" si="35"/>
        <v>-325994</v>
      </c>
      <c r="K366" s="869">
        <f t="shared" si="36"/>
        <v>-1</v>
      </c>
      <c r="L366" s="489">
        <f t="shared" si="37"/>
        <v>-154566</v>
      </c>
      <c r="M366" s="869">
        <f t="shared" si="38"/>
        <v>-1</v>
      </c>
    </row>
    <row r="367" spans="1:13" s="56" customFormat="1" x14ac:dyDescent="0.2">
      <c r="A367" s="503"/>
      <c r="B367" s="503"/>
      <c r="C367" s="365"/>
      <c r="D367" s="230"/>
      <c r="E367" s="230"/>
      <c r="F367" s="230">
        <v>0</v>
      </c>
      <c r="G367" s="230">
        <v>0</v>
      </c>
      <c r="H367" s="230">
        <f t="shared" si="39"/>
        <v>0</v>
      </c>
      <c r="I367" s="230">
        <v>0</v>
      </c>
      <c r="J367" s="230">
        <f t="shared" si="35"/>
        <v>0</v>
      </c>
      <c r="K367" s="912"/>
      <c r="L367" s="230">
        <f t="shared" si="37"/>
        <v>0</v>
      </c>
      <c r="M367" s="912"/>
    </row>
    <row r="368" spans="1:13" s="56" customFormat="1" x14ac:dyDescent="0.2">
      <c r="A368" s="503"/>
      <c r="B368" s="503"/>
      <c r="C368" s="105" t="s">
        <v>196</v>
      </c>
      <c r="D368" s="118"/>
      <c r="E368" s="118"/>
      <c r="F368" s="477">
        <v>0</v>
      </c>
      <c r="G368" s="477">
        <v>0</v>
      </c>
      <c r="H368" s="477">
        <f t="shared" si="39"/>
        <v>0</v>
      </c>
      <c r="I368" s="477">
        <v>0</v>
      </c>
      <c r="J368" s="477">
        <f t="shared" si="35"/>
        <v>0</v>
      </c>
      <c r="K368" s="909"/>
      <c r="L368" s="477">
        <f t="shared" si="37"/>
        <v>0</v>
      </c>
      <c r="M368" s="909"/>
    </row>
    <row r="369" spans="1:13" s="56" customFormat="1" x14ac:dyDescent="0.2">
      <c r="A369" s="503"/>
      <c r="B369" s="503"/>
      <c r="C369" s="106" t="s">
        <v>438</v>
      </c>
      <c r="D369" s="172">
        <f>312119-3276+189563+2163</f>
        <v>500569</v>
      </c>
      <c r="E369" s="172"/>
      <c r="F369" s="172">
        <v>-227460</v>
      </c>
      <c r="G369" s="172">
        <v>-1911</v>
      </c>
      <c r="H369" s="172">
        <f t="shared" si="39"/>
        <v>271198</v>
      </c>
      <c r="I369" s="172">
        <v>58651</v>
      </c>
      <c r="J369" s="172">
        <f t="shared" si="35"/>
        <v>-441918</v>
      </c>
      <c r="K369" s="524">
        <f t="shared" si="36"/>
        <v>-0.88283133793742719</v>
      </c>
      <c r="L369" s="172">
        <f t="shared" si="37"/>
        <v>-212547</v>
      </c>
      <c r="M369" s="524">
        <f t="shared" si="38"/>
        <v>-0.78373365585291932</v>
      </c>
    </row>
    <row r="370" spans="1:13" s="56" customFormat="1" x14ac:dyDescent="0.2">
      <c r="A370" s="503"/>
      <c r="B370" s="503"/>
      <c r="C370" s="103" t="s">
        <v>119</v>
      </c>
      <c r="D370" s="489">
        <f>184317+141677</f>
        <v>325994</v>
      </c>
      <c r="E370" s="145"/>
      <c r="F370" s="489">
        <v>-170000</v>
      </c>
      <c r="G370" s="782">
        <v>-1428</v>
      </c>
      <c r="H370" s="489">
        <f t="shared" si="39"/>
        <v>154566</v>
      </c>
      <c r="I370" s="489">
        <v>0</v>
      </c>
      <c r="J370" s="489">
        <f t="shared" si="35"/>
        <v>-325994</v>
      </c>
      <c r="K370" s="869">
        <f t="shared" si="36"/>
        <v>-1</v>
      </c>
      <c r="L370" s="489">
        <f t="shared" si="37"/>
        <v>-154566</v>
      </c>
      <c r="M370" s="869">
        <f t="shared" si="38"/>
        <v>-1</v>
      </c>
    </row>
    <row r="371" spans="1:13" x14ac:dyDescent="0.2">
      <c r="C371" s="357"/>
      <c r="D371" s="357"/>
      <c r="E371" s="357"/>
      <c r="F371" s="357">
        <v>0</v>
      </c>
      <c r="G371" s="357"/>
      <c r="H371" s="357">
        <f t="shared" si="39"/>
        <v>0</v>
      </c>
      <c r="I371" s="357">
        <v>0</v>
      </c>
      <c r="J371" s="357">
        <f t="shared" si="35"/>
        <v>0</v>
      </c>
      <c r="K371" s="913"/>
      <c r="L371" s="357">
        <f t="shared" si="37"/>
        <v>0</v>
      </c>
      <c r="M371" s="913"/>
    </row>
    <row r="372" spans="1:13" x14ac:dyDescent="0.2">
      <c r="C372" s="100" t="s">
        <v>197</v>
      </c>
      <c r="D372" s="170">
        <f>D374+D379+D386+D415+D417+D425+D420+D430+D435+D389+D402</f>
        <v>4746262</v>
      </c>
      <c r="E372" s="170"/>
      <c r="F372" s="488">
        <f>F374+F379+F386+F415+F417+F425+F420+F430+F435+F389+F402+F407+F412+F410</f>
        <v>390414</v>
      </c>
      <c r="G372" s="488">
        <f>G374+G379+G386+G415+G417+G425+G420+G430+G435+G389+G402+G407+G412+G410</f>
        <v>-29012</v>
      </c>
      <c r="H372" s="488">
        <f t="shared" si="39"/>
        <v>5107664</v>
      </c>
      <c r="I372" s="488">
        <v>4177933</v>
      </c>
      <c r="J372" s="488">
        <f t="shared" si="35"/>
        <v>-568329</v>
      </c>
      <c r="K372" s="865">
        <f t="shared" si="36"/>
        <v>-0.11974244152556264</v>
      </c>
      <c r="L372" s="488">
        <f t="shared" si="37"/>
        <v>-929731</v>
      </c>
      <c r="M372" s="865">
        <f t="shared" si="38"/>
        <v>-0.18202665641279459</v>
      </c>
    </row>
    <row r="373" spans="1:13" x14ac:dyDescent="0.2">
      <c r="C373" s="100"/>
      <c r="D373" s="170"/>
      <c r="E373" s="170"/>
      <c r="F373" s="488">
        <v>0</v>
      </c>
      <c r="H373" s="488">
        <f t="shared" si="39"/>
        <v>0</v>
      </c>
      <c r="I373" s="488">
        <v>0</v>
      </c>
      <c r="J373" s="488">
        <f t="shared" si="35"/>
        <v>0</v>
      </c>
      <c r="K373" s="865"/>
      <c r="L373" s="488">
        <f t="shared" si="37"/>
        <v>0</v>
      </c>
      <c r="M373" s="865"/>
    </row>
    <row r="374" spans="1:13" x14ac:dyDescent="0.2">
      <c r="A374" s="459"/>
      <c r="B374" s="459"/>
      <c r="C374" s="104" t="s">
        <v>314</v>
      </c>
      <c r="D374" s="172">
        <v>2115498</v>
      </c>
      <c r="E374" s="172"/>
      <c r="F374" s="574">
        <v>219823</v>
      </c>
      <c r="G374" s="574">
        <v>-29012</v>
      </c>
      <c r="H374" s="172">
        <v>2306309</v>
      </c>
      <c r="I374" s="172">
        <v>2594096</v>
      </c>
      <c r="J374" s="172">
        <f t="shared" si="35"/>
        <v>478598</v>
      </c>
      <c r="K374" s="524">
        <f t="shared" si="36"/>
        <v>0.22623420111954726</v>
      </c>
      <c r="L374" s="172">
        <f t="shared" si="37"/>
        <v>287787</v>
      </c>
      <c r="M374" s="524">
        <f t="shared" si="38"/>
        <v>0.12478249878919087</v>
      </c>
    </row>
    <row r="375" spans="1:13" s="486" customFormat="1" x14ac:dyDescent="0.2">
      <c r="A375" s="503"/>
      <c r="B375" s="503"/>
      <c r="C375" s="308" t="s">
        <v>119</v>
      </c>
      <c r="D375" s="489">
        <v>1233620</v>
      </c>
      <c r="E375" s="145"/>
      <c r="F375" s="567">
        <v>165682</v>
      </c>
      <c r="G375" s="781">
        <v>-16564</v>
      </c>
      <c r="H375" s="489">
        <v>1382738</v>
      </c>
      <c r="I375" s="489">
        <v>1582825</v>
      </c>
      <c r="J375" s="489">
        <f t="shared" si="35"/>
        <v>349205</v>
      </c>
      <c r="K375" s="869">
        <f t="shared" si="36"/>
        <v>0.28307339375172258</v>
      </c>
      <c r="L375" s="489">
        <f t="shared" si="37"/>
        <v>200087</v>
      </c>
      <c r="M375" s="869">
        <f t="shared" si="38"/>
        <v>0.14470347961797536</v>
      </c>
    </row>
    <row r="376" spans="1:13" s="486" customFormat="1" x14ac:dyDescent="0.2">
      <c r="A376" s="504" t="s">
        <v>863</v>
      </c>
      <c r="B376" s="504" t="s">
        <v>120</v>
      </c>
      <c r="C376" s="563" t="s">
        <v>1009</v>
      </c>
      <c r="D376" s="489">
        <v>2115498</v>
      </c>
      <c r="E376" s="489"/>
      <c r="F376" s="567">
        <v>-8028</v>
      </c>
      <c r="G376" s="781">
        <v>-29358</v>
      </c>
      <c r="H376" s="489">
        <v>2078112</v>
      </c>
      <c r="I376" s="489">
        <v>2144186</v>
      </c>
      <c r="J376" s="489">
        <f t="shared" ref="J376:J377" si="40">I376-D376</f>
        <v>28688</v>
      </c>
      <c r="K376" s="869">
        <f t="shared" ref="K376:K377" si="41">J376/D376</f>
        <v>1.3560873137199846E-2</v>
      </c>
      <c r="L376" s="489">
        <f t="shared" ref="L376:L377" si="42">I376-H376</f>
        <v>66074</v>
      </c>
      <c r="M376" s="869">
        <f t="shared" ref="M376:M377" si="43">L376/H376</f>
        <v>3.1795206418133382E-2</v>
      </c>
    </row>
    <row r="377" spans="1:13" x14ac:dyDescent="0.2">
      <c r="A377" s="504" t="s">
        <v>865</v>
      </c>
      <c r="B377" s="504" t="s">
        <v>120</v>
      </c>
      <c r="C377" s="563" t="s">
        <v>1008</v>
      </c>
      <c r="D377" s="489"/>
      <c r="E377" s="489"/>
      <c r="F377" s="567">
        <v>227851</v>
      </c>
      <c r="G377" s="781">
        <v>346</v>
      </c>
      <c r="H377" s="489">
        <v>228197</v>
      </c>
      <c r="I377" s="489">
        <v>449910</v>
      </c>
      <c r="J377" s="489">
        <f t="shared" si="40"/>
        <v>449910</v>
      </c>
      <c r="K377" s="869" t="e">
        <f t="shared" si="41"/>
        <v>#DIV/0!</v>
      </c>
      <c r="L377" s="489">
        <f t="shared" si="42"/>
        <v>221713</v>
      </c>
      <c r="M377" s="869">
        <f t="shared" si="43"/>
        <v>0.97158595424129146</v>
      </c>
    </row>
    <row r="378" spans="1:13" x14ac:dyDescent="0.2">
      <c r="A378" s="459"/>
      <c r="B378" s="459"/>
      <c r="C378" s="350"/>
      <c r="D378" s="172"/>
      <c r="E378" s="172"/>
      <c r="F378" s="172">
        <v>0</v>
      </c>
      <c r="G378" s="172"/>
      <c r="H378" s="172">
        <f t="shared" si="39"/>
        <v>0</v>
      </c>
      <c r="I378" s="172">
        <v>0</v>
      </c>
      <c r="J378" s="172">
        <f t="shared" si="35"/>
        <v>0</v>
      </c>
      <c r="K378" s="524"/>
      <c r="L378" s="172">
        <f t="shared" si="37"/>
        <v>0</v>
      </c>
      <c r="M378" s="524"/>
    </row>
    <row r="379" spans="1:13" x14ac:dyDescent="0.2">
      <c r="A379" s="459" t="s">
        <v>863</v>
      </c>
      <c r="B379" s="459" t="s">
        <v>120</v>
      </c>
      <c r="C379" s="104" t="s">
        <v>326</v>
      </c>
      <c r="D379" s="172">
        <v>298827</v>
      </c>
      <c r="E379" s="172"/>
      <c r="F379" s="172">
        <v>86500</v>
      </c>
      <c r="G379" s="172"/>
      <c r="H379" s="172">
        <f t="shared" si="39"/>
        <v>385327</v>
      </c>
      <c r="I379" s="172">
        <v>391372</v>
      </c>
      <c r="J379" s="172">
        <f t="shared" si="35"/>
        <v>92545</v>
      </c>
      <c r="K379" s="524">
        <f t="shared" si="36"/>
        <v>0.30969423780314365</v>
      </c>
      <c r="L379" s="172">
        <f t="shared" si="37"/>
        <v>6045</v>
      </c>
      <c r="M379" s="524">
        <f t="shared" si="38"/>
        <v>1.5687974110301119E-2</v>
      </c>
    </row>
    <row r="380" spans="1:13" x14ac:dyDescent="0.2">
      <c r="C380" s="308" t="s">
        <v>119</v>
      </c>
      <c r="D380" s="489">
        <f>8000+5000</f>
        <v>13000</v>
      </c>
      <c r="E380" s="145"/>
      <c r="F380" s="489">
        <v>6080</v>
      </c>
      <c r="G380" s="782">
        <v>-8000</v>
      </c>
      <c r="H380" s="489">
        <f t="shared" si="39"/>
        <v>11080</v>
      </c>
      <c r="I380" s="489">
        <v>19000</v>
      </c>
      <c r="J380" s="489">
        <f t="shared" si="35"/>
        <v>6000</v>
      </c>
      <c r="K380" s="869">
        <f t="shared" si="36"/>
        <v>0.46153846153846156</v>
      </c>
      <c r="L380" s="489">
        <f t="shared" si="37"/>
        <v>7920</v>
      </c>
      <c r="M380" s="869">
        <f t="shared" si="38"/>
        <v>0.71480144404332135</v>
      </c>
    </row>
    <row r="381" spans="1:13" s="486" customFormat="1" x14ac:dyDescent="0.2">
      <c r="A381" s="503"/>
      <c r="B381" s="503"/>
      <c r="C381" s="98" t="s">
        <v>327</v>
      </c>
      <c r="D381" s="145">
        <v>16000</v>
      </c>
      <c r="E381" s="145"/>
      <c r="F381" s="489"/>
      <c r="G381" s="489"/>
      <c r="H381" s="489">
        <f t="shared" si="39"/>
        <v>16000</v>
      </c>
      <c r="I381" s="489">
        <v>16000</v>
      </c>
      <c r="J381" s="489">
        <f t="shared" si="35"/>
        <v>0</v>
      </c>
      <c r="K381" s="869">
        <f t="shared" si="36"/>
        <v>0</v>
      </c>
      <c r="L381" s="489">
        <f t="shared" si="37"/>
        <v>0</v>
      </c>
      <c r="M381" s="869">
        <f t="shared" si="38"/>
        <v>0</v>
      </c>
    </row>
    <row r="382" spans="1:13" s="486" customFormat="1" x14ac:dyDescent="0.2">
      <c r="A382" s="503"/>
      <c r="B382" s="503"/>
      <c r="C382" s="575" t="s">
        <v>988</v>
      </c>
      <c r="D382" s="489"/>
      <c r="E382" s="489"/>
      <c r="F382" s="489">
        <v>77500</v>
      </c>
      <c r="G382" s="489"/>
      <c r="H382" s="489">
        <f t="shared" si="39"/>
        <v>77500</v>
      </c>
      <c r="I382" s="489">
        <v>77500</v>
      </c>
      <c r="J382" s="489">
        <f t="shared" si="35"/>
        <v>77500</v>
      </c>
      <c r="K382" s="869"/>
      <c r="L382" s="489">
        <f t="shared" si="37"/>
        <v>0</v>
      </c>
      <c r="M382" s="869">
        <f t="shared" si="38"/>
        <v>0</v>
      </c>
    </row>
    <row r="383" spans="1:13" x14ac:dyDescent="0.2">
      <c r="C383" s="575" t="s">
        <v>1095</v>
      </c>
      <c r="D383" s="489"/>
      <c r="E383" s="489"/>
      <c r="F383" s="489"/>
      <c r="G383" s="489"/>
      <c r="H383" s="489">
        <f t="shared" si="39"/>
        <v>0</v>
      </c>
      <c r="I383" s="489">
        <v>53330</v>
      </c>
      <c r="J383" s="489">
        <f t="shared" si="35"/>
        <v>53330</v>
      </c>
      <c r="K383" s="869"/>
      <c r="L383" s="489">
        <f t="shared" si="37"/>
        <v>53330</v>
      </c>
      <c r="M383" s="869"/>
    </row>
    <row r="384" spans="1:13" x14ac:dyDescent="0.2">
      <c r="C384" s="98" t="s">
        <v>562</v>
      </c>
      <c r="D384" s="145">
        <v>45000</v>
      </c>
      <c r="E384" s="145"/>
      <c r="F384" s="489">
        <v>5350</v>
      </c>
      <c r="G384" s="489"/>
      <c r="H384" s="489">
        <f t="shared" si="39"/>
        <v>50350</v>
      </c>
      <c r="I384" s="489">
        <v>50000</v>
      </c>
      <c r="J384" s="489">
        <f t="shared" si="35"/>
        <v>5000</v>
      </c>
      <c r="K384" s="869">
        <f t="shared" si="36"/>
        <v>0.1111111111111111</v>
      </c>
      <c r="L384" s="489">
        <f t="shared" si="37"/>
        <v>-350</v>
      </c>
      <c r="M384" s="869">
        <f t="shared" si="38"/>
        <v>-6.9513406156901684E-3</v>
      </c>
    </row>
    <row r="385" spans="1:13" x14ac:dyDescent="0.2">
      <c r="C385" s="103"/>
      <c r="D385" s="145"/>
      <c r="E385" s="145"/>
      <c r="F385" s="489">
        <v>0</v>
      </c>
      <c r="G385" s="489"/>
      <c r="H385" s="489">
        <f t="shared" si="39"/>
        <v>0</v>
      </c>
      <c r="I385" s="489">
        <v>0</v>
      </c>
      <c r="J385" s="489">
        <f t="shared" si="35"/>
        <v>0</v>
      </c>
      <c r="K385" s="869"/>
      <c r="L385" s="489">
        <f t="shared" si="37"/>
        <v>0</v>
      </c>
      <c r="M385" s="869"/>
    </row>
    <row r="386" spans="1:13" s="486" customFormat="1" x14ac:dyDescent="0.2">
      <c r="A386" s="459" t="s">
        <v>863</v>
      </c>
      <c r="B386" s="459" t="s">
        <v>120</v>
      </c>
      <c r="C386" s="104" t="s">
        <v>328</v>
      </c>
      <c r="D386" s="172">
        <v>266000</v>
      </c>
      <c r="E386" s="172"/>
      <c r="F386" s="172">
        <v>0</v>
      </c>
      <c r="G386" s="172"/>
      <c r="H386" s="172">
        <f t="shared" si="39"/>
        <v>266000</v>
      </c>
      <c r="I386" s="172">
        <v>266000</v>
      </c>
      <c r="J386" s="172">
        <f t="shared" si="35"/>
        <v>0</v>
      </c>
      <c r="K386" s="524">
        <f t="shared" si="36"/>
        <v>0</v>
      </c>
      <c r="L386" s="172">
        <f t="shared" si="37"/>
        <v>0</v>
      </c>
      <c r="M386" s="524">
        <f t="shared" si="38"/>
        <v>0</v>
      </c>
    </row>
    <row r="387" spans="1:13" x14ac:dyDescent="0.2">
      <c r="A387" s="459"/>
      <c r="B387" s="459"/>
      <c r="C387" s="308" t="s">
        <v>119</v>
      </c>
      <c r="D387" s="172"/>
      <c r="E387" s="172"/>
      <c r="F387" s="172"/>
      <c r="G387" s="786">
        <v>6500</v>
      </c>
      <c r="H387" s="172">
        <f t="shared" si="39"/>
        <v>6500</v>
      </c>
      <c r="I387" s="172">
        <v>0</v>
      </c>
      <c r="J387" s="172">
        <f t="shared" ref="J387:J451" si="44">I387-D387</f>
        <v>0</v>
      </c>
      <c r="K387" s="524"/>
      <c r="L387" s="172">
        <f t="shared" ref="L387:L451" si="45">I387-H387</f>
        <v>-6500</v>
      </c>
      <c r="M387" s="524">
        <f t="shared" ref="M387:M451" si="46">L387/H387</f>
        <v>-1</v>
      </c>
    </row>
    <row r="388" spans="1:13" s="56" customFormat="1" x14ac:dyDescent="0.2">
      <c r="A388" s="503"/>
      <c r="B388" s="503"/>
      <c r="C388" s="103"/>
      <c r="D388" s="145"/>
      <c r="E388" s="145"/>
      <c r="F388" s="489">
        <v>0</v>
      </c>
      <c r="G388" s="489"/>
      <c r="H388" s="489">
        <f t="shared" si="39"/>
        <v>0</v>
      </c>
      <c r="I388" s="489">
        <v>0</v>
      </c>
      <c r="J388" s="489">
        <f t="shared" si="44"/>
        <v>0</v>
      </c>
      <c r="K388" s="869"/>
      <c r="L388" s="489">
        <f t="shared" si="45"/>
        <v>0</v>
      </c>
      <c r="M388" s="869"/>
    </row>
    <row r="389" spans="1:13" s="56" customFormat="1" x14ac:dyDescent="0.2">
      <c r="A389" s="459" t="s">
        <v>865</v>
      </c>
      <c r="B389" s="459" t="s">
        <v>120</v>
      </c>
      <c r="C389" s="338" t="s">
        <v>447</v>
      </c>
      <c r="D389" s="179">
        <f>D391+D392+D393+D394++D395+D396</f>
        <v>732350</v>
      </c>
      <c r="E389" s="179"/>
      <c r="F389" s="179">
        <v>15000</v>
      </c>
      <c r="G389" s="179"/>
      <c r="H389" s="179">
        <f t="shared" si="39"/>
        <v>747350</v>
      </c>
      <c r="I389" s="179">
        <v>732350</v>
      </c>
      <c r="J389" s="179">
        <f t="shared" si="44"/>
        <v>0</v>
      </c>
      <c r="K389" s="542">
        <f t="shared" ref="K389:K451" si="47">J389/D389</f>
        <v>0</v>
      </c>
      <c r="L389" s="179">
        <f t="shared" si="45"/>
        <v>-15000</v>
      </c>
      <c r="M389" s="542">
        <f t="shared" si="46"/>
        <v>-2.0070917240917911E-2</v>
      </c>
    </row>
    <row r="390" spans="1:13" s="56" customFormat="1" x14ac:dyDescent="0.2">
      <c r="A390" s="503"/>
      <c r="B390" s="503"/>
      <c r="C390" s="308" t="s">
        <v>119</v>
      </c>
      <c r="D390" s="489">
        <v>434</v>
      </c>
      <c r="E390" s="145"/>
      <c r="F390" s="489">
        <v>0</v>
      </c>
      <c r="G390" s="489"/>
      <c r="H390" s="489">
        <f t="shared" si="39"/>
        <v>434</v>
      </c>
      <c r="I390" s="489">
        <v>434</v>
      </c>
      <c r="J390" s="489">
        <f t="shared" si="44"/>
        <v>0</v>
      </c>
      <c r="K390" s="869">
        <f t="shared" si="47"/>
        <v>0</v>
      </c>
      <c r="L390" s="489">
        <f t="shared" si="45"/>
        <v>0</v>
      </c>
      <c r="M390" s="869">
        <f t="shared" si="46"/>
        <v>0</v>
      </c>
    </row>
    <row r="391" spans="1:13" s="56" customFormat="1" x14ac:dyDescent="0.2">
      <c r="A391" s="503"/>
      <c r="B391" s="503"/>
      <c r="C391" s="299" t="s">
        <v>448</v>
      </c>
      <c r="D391" s="196">
        <v>53290</v>
      </c>
      <c r="E391" s="196"/>
      <c r="F391" s="495">
        <v>0</v>
      </c>
      <c r="G391" s="495"/>
      <c r="H391" s="495">
        <f t="shared" si="39"/>
        <v>53290</v>
      </c>
      <c r="I391" s="495">
        <v>54915</v>
      </c>
      <c r="J391" s="495">
        <f t="shared" si="44"/>
        <v>1625</v>
      </c>
      <c r="K391" s="888">
        <f t="shared" si="47"/>
        <v>3.0493525989866765E-2</v>
      </c>
      <c r="L391" s="495">
        <f t="shared" si="45"/>
        <v>1625</v>
      </c>
      <c r="M391" s="888">
        <f t="shared" si="46"/>
        <v>3.0493525989866765E-2</v>
      </c>
    </row>
    <row r="392" spans="1:13" s="56" customFormat="1" x14ac:dyDescent="0.2">
      <c r="A392" s="503"/>
      <c r="B392" s="503"/>
      <c r="C392" s="299" t="s">
        <v>449</v>
      </c>
      <c r="D392" s="196">
        <v>120000</v>
      </c>
      <c r="E392" s="196"/>
      <c r="F392" s="495">
        <v>0</v>
      </c>
      <c r="G392" s="568">
        <v>10000</v>
      </c>
      <c r="H392" s="495">
        <f t="shared" si="39"/>
        <v>130000</v>
      </c>
      <c r="I392" s="495">
        <v>120000</v>
      </c>
      <c r="J392" s="495">
        <f t="shared" si="44"/>
        <v>0</v>
      </c>
      <c r="K392" s="888">
        <f t="shared" si="47"/>
        <v>0</v>
      </c>
      <c r="L392" s="495">
        <f t="shared" si="45"/>
        <v>-10000</v>
      </c>
      <c r="M392" s="888">
        <f t="shared" si="46"/>
        <v>-7.6923076923076927E-2</v>
      </c>
    </row>
    <row r="393" spans="1:13" s="56" customFormat="1" x14ac:dyDescent="0.2">
      <c r="A393" s="503"/>
      <c r="B393" s="503"/>
      <c r="C393" s="299" t="s">
        <v>450</v>
      </c>
      <c r="D393" s="196">
        <v>1250</v>
      </c>
      <c r="E393" s="196"/>
      <c r="F393" s="495">
        <v>0</v>
      </c>
      <c r="G393" s="568">
        <v>0</v>
      </c>
      <c r="H393" s="495">
        <f t="shared" ref="H393:H457" si="48">D393+E393+F393+G393</f>
        <v>1250</v>
      </c>
      <c r="I393" s="495">
        <v>1875</v>
      </c>
      <c r="J393" s="495">
        <f t="shared" si="44"/>
        <v>625</v>
      </c>
      <c r="K393" s="888">
        <f t="shared" si="47"/>
        <v>0.5</v>
      </c>
      <c r="L393" s="495">
        <f t="shared" si="45"/>
        <v>625</v>
      </c>
      <c r="M393" s="888">
        <f t="shared" si="46"/>
        <v>0.5</v>
      </c>
    </row>
    <row r="394" spans="1:13" s="56" customFormat="1" x14ac:dyDescent="0.2">
      <c r="A394" s="503"/>
      <c r="B394" s="503"/>
      <c r="C394" s="299" t="s">
        <v>451</v>
      </c>
      <c r="D394" s="196">
        <v>62250</v>
      </c>
      <c r="E394" s="196"/>
      <c r="F394" s="495">
        <v>0</v>
      </c>
      <c r="G394" s="568">
        <v>0</v>
      </c>
      <c r="H394" s="495">
        <f t="shared" si="48"/>
        <v>62250</v>
      </c>
      <c r="I394" s="495">
        <v>60000</v>
      </c>
      <c r="J394" s="495">
        <f t="shared" si="44"/>
        <v>-2250</v>
      </c>
      <c r="K394" s="888">
        <f t="shared" si="47"/>
        <v>-3.614457831325301E-2</v>
      </c>
      <c r="L394" s="495">
        <f t="shared" si="45"/>
        <v>-2250</v>
      </c>
      <c r="M394" s="888">
        <f t="shared" si="46"/>
        <v>-3.614457831325301E-2</v>
      </c>
    </row>
    <row r="395" spans="1:13" s="56" customFormat="1" x14ac:dyDescent="0.2">
      <c r="A395" s="503"/>
      <c r="B395" s="503"/>
      <c r="C395" s="299" t="s">
        <v>453</v>
      </c>
      <c r="D395" s="196">
        <v>5000</v>
      </c>
      <c r="E395" s="196"/>
      <c r="F395" s="495">
        <v>15000</v>
      </c>
      <c r="G395" s="568">
        <v>0</v>
      </c>
      <c r="H395" s="495">
        <f t="shared" si="48"/>
        <v>20000</v>
      </c>
      <c r="I395" s="495">
        <v>5000</v>
      </c>
      <c r="J395" s="495">
        <f t="shared" si="44"/>
        <v>0</v>
      </c>
      <c r="K395" s="888">
        <f t="shared" si="47"/>
        <v>0</v>
      </c>
      <c r="L395" s="495">
        <f t="shared" si="45"/>
        <v>-15000</v>
      </c>
      <c r="M395" s="888">
        <f t="shared" si="46"/>
        <v>-0.75</v>
      </c>
    </row>
    <row r="396" spans="1:13" s="56" customFormat="1" x14ac:dyDescent="0.2">
      <c r="A396" s="503"/>
      <c r="B396" s="503"/>
      <c r="C396" s="98" t="s">
        <v>452</v>
      </c>
      <c r="D396" s="145">
        <v>490560</v>
      </c>
      <c r="E396" s="145"/>
      <c r="F396" s="489">
        <v>0</v>
      </c>
      <c r="G396" s="567">
        <v>-10000</v>
      </c>
      <c r="H396" s="489">
        <f t="shared" si="48"/>
        <v>480560</v>
      </c>
      <c r="I396" s="489">
        <v>490560</v>
      </c>
      <c r="J396" s="489">
        <f t="shared" si="44"/>
        <v>0</v>
      </c>
      <c r="K396" s="869">
        <f t="shared" si="47"/>
        <v>0</v>
      </c>
      <c r="L396" s="489">
        <f t="shared" si="45"/>
        <v>10000</v>
      </c>
      <c r="M396" s="869">
        <f t="shared" si="46"/>
        <v>2.0809056101215247E-2</v>
      </c>
    </row>
    <row r="397" spans="1:13" s="56" customFormat="1" x14ac:dyDescent="0.2">
      <c r="A397" s="503"/>
      <c r="B397" s="503"/>
      <c r="C397" s="294" t="s">
        <v>698</v>
      </c>
      <c r="D397" s="201">
        <v>296560</v>
      </c>
      <c r="E397" s="201"/>
      <c r="F397" s="490">
        <v>0</v>
      </c>
      <c r="G397" s="612">
        <v>0</v>
      </c>
      <c r="H397" s="490">
        <f t="shared" si="48"/>
        <v>296560</v>
      </c>
      <c r="I397" s="490">
        <v>296560</v>
      </c>
      <c r="J397" s="490">
        <f t="shared" si="44"/>
        <v>0</v>
      </c>
      <c r="K397" s="914">
        <f t="shared" si="47"/>
        <v>0</v>
      </c>
      <c r="L397" s="490">
        <f t="shared" si="45"/>
        <v>0</v>
      </c>
      <c r="M397" s="914">
        <f t="shared" si="46"/>
        <v>0</v>
      </c>
    </row>
    <row r="398" spans="1:13" s="56" customFormat="1" x14ac:dyDescent="0.2">
      <c r="A398" s="503"/>
      <c r="B398" s="503"/>
      <c r="C398" s="367" t="s">
        <v>454</v>
      </c>
      <c r="D398" s="198">
        <v>100000</v>
      </c>
      <c r="E398" s="198"/>
      <c r="F398" s="198">
        <v>0</v>
      </c>
      <c r="G398" s="607">
        <v>-10000</v>
      </c>
      <c r="H398" s="198">
        <f t="shared" si="48"/>
        <v>90000</v>
      </c>
      <c r="I398" s="198">
        <v>100000</v>
      </c>
      <c r="J398" s="198">
        <f t="shared" si="44"/>
        <v>0</v>
      </c>
      <c r="K398" s="915">
        <f t="shared" si="47"/>
        <v>0</v>
      </c>
      <c r="L398" s="198">
        <f t="shared" si="45"/>
        <v>10000</v>
      </c>
      <c r="M398" s="915">
        <f t="shared" si="46"/>
        <v>0.1111111111111111</v>
      </c>
    </row>
    <row r="399" spans="1:13" s="56" customFormat="1" x14ac:dyDescent="0.2">
      <c r="A399" s="503"/>
      <c r="B399" s="503"/>
      <c r="C399" s="367" t="s">
        <v>455</v>
      </c>
      <c r="D399" s="198">
        <v>20000</v>
      </c>
      <c r="E399" s="198"/>
      <c r="F399" s="198">
        <v>0</v>
      </c>
      <c r="G399" s="198"/>
      <c r="H399" s="198">
        <f t="shared" si="48"/>
        <v>20000</v>
      </c>
      <c r="I399" s="198">
        <v>20000</v>
      </c>
      <c r="J399" s="198">
        <f t="shared" si="44"/>
        <v>0</v>
      </c>
      <c r="K399" s="915">
        <f t="shared" si="47"/>
        <v>0</v>
      </c>
      <c r="L399" s="198">
        <f t="shared" si="45"/>
        <v>0</v>
      </c>
      <c r="M399" s="915">
        <f t="shared" si="46"/>
        <v>0</v>
      </c>
    </row>
    <row r="400" spans="1:13" s="56" customFormat="1" x14ac:dyDescent="0.2">
      <c r="A400" s="503"/>
      <c r="B400" s="503"/>
      <c r="C400" s="367" t="s">
        <v>509</v>
      </c>
      <c r="D400" s="198">
        <v>74000</v>
      </c>
      <c r="E400" s="198"/>
      <c r="F400" s="198">
        <v>0</v>
      </c>
      <c r="G400" s="198"/>
      <c r="H400" s="198">
        <f t="shared" si="48"/>
        <v>74000</v>
      </c>
      <c r="I400" s="198">
        <v>74000</v>
      </c>
      <c r="J400" s="198">
        <f t="shared" si="44"/>
        <v>0</v>
      </c>
      <c r="K400" s="915">
        <f t="shared" si="47"/>
        <v>0</v>
      </c>
      <c r="L400" s="198">
        <f t="shared" si="45"/>
        <v>0</v>
      </c>
      <c r="M400" s="915">
        <f t="shared" si="46"/>
        <v>0</v>
      </c>
    </row>
    <row r="401" spans="1:13" s="56" customFormat="1" x14ac:dyDescent="0.2">
      <c r="A401" s="503"/>
      <c r="B401" s="503"/>
      <c r="C401" s="299"/>
      <c r="D401" s="196"/>
      <c r="E401" s="196"/>
      <c r="F401" s="495">
        <v>0</v>
      </c>
      <c r="G401" s="495"/>
      <c r="H401" s="495">
        <f t="shared" si="48"/>
        <v>0</v>
      </c>
      <c r="I401" s="495">
        <v>0</v>
      </c>
      <c r="J401" s="495">
        <f t="shared" si="44"/>
        <v>0</v>
      </c>
      <c r="K401" s="888"/>
      <c r="L401" s="495">
        <f t="shared" si="45"/>
        <v>0</v>
      </c>
      <c r="M401" s="888"/>
    </row>
    <row r="402" spans="1:13" s="56" customFormat="1" x14ac:dyDescent="0.2">
      <c r="A402" s="459" t="s">
        <v>865</v>
      </c>
      <c r="B402" s="459" t="s">
        <v>120</v>
      </c>
      <c r="C402" s="682" t="s">
        <v>1096</v>
      </c>
      <c r="D402" s="233">
        <v>155700</v>
      </c>
      <c r="E402" s="233"/>
      <c r="F402" s="233">
        <v>0</v>
      </c>
      <c r="G402" s="233"/>
      <c r="H402" s="233">
        <f t="shared" si="48"/>
        <v>155700</v>
      </c>
      <c r="I402" s="233">
        <v>21070</v>
      </c>
      <c r="J402" s="233">
        <f t="shared" si="44"/>
        <v>-134630</v>
      </c>
      <c r="K402" s="916">
        <f t="shared" si="47"/>
        <v>-0.86467565831727677</v>
      </c>
      <c r="L402" s="233">
        <f t="shared" si="45"/>
        <v>-134630</v>
      </c>
      <c r="M402" s="916">
        <f t="shared" si="46"/>
        <v>-0.86467565831727677</v>
      </c>
    </row>
    <row r="403" spans="1:13" s="56" customFormat="1" x14ac:dyDescent="0.2">
      <c r="A403" s="503"/>
      <c r="B403" s="503"/>
      <c r="C403" s="308" t="s">
        <v>119</v>
      </c>
      <c r="D403" s="489">
        <v>99250</v>
      </c>
      <c r="E403" s="145"/>
      <c r="F403" s="489">
        <v>0</v>
      </c>
      <c r="G403" s="489"/>
      <c r="H403" s="489">
        <f t="shared" si="48"/>
        <v>99250</v>
      </c>
      <c r="I403" s="489">
        <v>9450</v>
      </c>
      <c r="J403" s="489">
        <f t="shared" si="44"/>
        <v>-89800</v>
      </c>
      <c r="K403" s="869">
        <f t="shared" si="47"/>
        <v>-0.90478589420654909</v>
      </c>
      <c r="L403" s="489">
        <f t="shared" si="45"/>
        <v>-89800</v>
      </c>
      <c r="M403" s="869">
        <f t="shared" si="46"/>
        <v>-0.90478589420654909</v>
      </c>
    </row>
    <row r="404" spans="1:13" s="486" customFormat="1" x14ac:dyDescent="0.2">
      <c r="A404" s="503"/>
      <c r="B404" s="503"/>
      <c r="C404" s="308"/>
      <c r="D404" s="145"/>
      <c r="E404" s="145"/>
      <c r="F404" s="489">
        <v>0</v>
      </c>
      <c r="G404" s="489"/>
      <c r="H404" s="489">
        <f t="shared" si="48"/>
        <v>0</v>
      </c>
      <c r="I404" s="489">
        <v>0</v>
      </c>
      <c r="J404" s="489">
        <f t="shared" si="44"/>
        <v>0</v>
      </c>
      <c r="K404" s="869"/>
      <c r="L404" s="489">
        <f t="shared" si="45"/>
        <v>0</v>
      </c>
      <c r="M404" s="869"/>
    </row>
    <row r="405" spans="1:13" s="486" customFormat="1" x14ac:dyDescent="0.2">
      <c r="A405" s="503"/>
      <c r="B405" s="503"/>
      <c r="C405" s="696" t="s">
        <v>915</v>
      </c>
      <c r="D405" s="489"/>
      <c r="E405" s="489"/>
      <c r="F405" s="489"/>
      <c r="G405" s="489">
        <v>60000</v>
      </c>
      <c r="H405" s="489">
        <f t="shared" si="48"/>
        <v>60000</v>
      </c>
      <c r="I405" s="489">
        <v>0</v>
      </c>
      <c r="J405" s="489">
        <f t="shared" si="44"/>
        <v>0</v>
      </c>
      <c r="K405" s="869"/>
      <c r="L405" s="489">
        <f t="shared" si="45"/>
        <v>-60000</v>
      </c>
      <c r="M405" s="869">
        <f t="shared" si="46"/>
        <v>-1</v>
      </c>
    </row>
    <row r="406" spans="1:13" s="486" customFormat="1" x14ac:dyDescent="0.2">
      <c r="A406" s="503"/>
      <c r="B406" s="503"/>
      <c r="C406" s="308"/>
      <c r="D406" s="489"/>
      <c r="E406" s="489"/>
      <c r="F406" s="489"/>
      <c r="G406" s="489"/>
      <c r="H406" s="489">
        <f t="shared" si="48"/>
        <v>0</v>
      </c>
      <c r="I406" s="489">
        <v>0</v>
      </c>
      <c r="J406" s="489">
        <f t="shared" si="44"/>
        <v>0</v>
      </c>
      <c r="K406" s="869"/>
      <c r="L406" s="489">
        <f t="shared" si="45"/>
        <v>0</v>
      </c>
      <c r="M406" s="869"/>
    </row>
    <row r="407" spans="1:13" s="486" customFormat="1" x14ac:dyDescent="0.2">
      <c r="A407" s="459" t="s">
        <v>865</v>
      </c>
      <c r="B407" s="459" t="s">
        <v>120</v>
      </c>
      <c r="C407" s="338" t="s">
        <v>916</v>
      </c>
      <c r="D407" s="489"/>
      <c r="E407" s="489"/>
      <c r="F407" s="489">
        <v>20169</v>
      </c>
      <c r="G407" s="489"/>
      <c r="H407" s="489">
        <f t="shared" si="48"/>
        <v>20169</v>
      </c>
      <c r="I407" s="489">
        <v>0</v>
      </c>
      <c r="J407" s="489">
        <f t="shared" si="44"/>
        <v>0</v>
      </c>
      <c r="K407" s="869"/>
      <c r="L407" s="489">
        <f t="shared" si="45"/>
        <v>-20169</v>
      </c>
      <c r="M407" s="869">
        <f t="shared" si="46"/>
        <v>-1</v>
      </c>
    </row>
    <row r="408" spans="1:13" s="486" customFormat="1" x14ac:dyDescent="0.2">
      <c r="A408" s="459"/>
      <c r="B408" s="459"/>
      <c r="C408" s="308" t="s">
        <v>119</v>
      </c>
      <c r="D408" s="489"/>
      <c r="E408" s="489"/>
      <c r="F408" s="489"/>
      <c r="G408" s="489">
        <v>1000</v>
      </c>
      <c r="H408" s="489">
        <f t="shared" si="48"/>
        <v>1000</v>
      </c>
      <c r="I408" s="489">
        <v>0</v>
      </c>
      <c r="J408" s="489">
        <f t="shared" si="44"/>
        <v>0</v>
      </c>
      <c r="K408" s="869"/>
      <c r="L408" s="489">
        <f t="shared" si="45"/>
        <v>-1000</v>
      </c>
      <c r="M408" s="869">
        <f t="shared" si="46"/>
        <v>-1</v>
      </c>
    </row>
    <row r="409" spans="1:13" s="486" customFormat="1" x14ac:dyDescent="0.2">
      <c r="A409" s="459"/>
      <c r="B409" s="459"/>
      <c r="C409" s="308"/>
      <c r="D409" s="489"/>
      <c r="E409" s="489"/>
      <c r="F409" s="489"/>
      <c r="G409" s="489"/>
      <c r="H409" s="489"/>
      <c r="I409" s="489"/>
      <c r="J409" s="489"/>
      <c r="K409" s="869"/>
      <c r="L409" s="489"/>
      <c r="M409" s="869"/>
    </row>
    <row r="410" spans="1:13" x14ac:dyDescent="0.2">
      <c r="A410" s="459" t="s">
        <v>863</v>
      </c>
      <c r="B410" s="459" t="s">
        <v>120</v>
      </c>
      <c r="C410" s="546" t="s">
        <v>987</v>
      </c>
      <c r="D410" s="493"/>
      <c r="E410" s="493"/>
      <c r="F410" s="493">
        <v>5000</v>
      </c>
      <c r="G410" s="493"/>
      <c r="H410" s="493">
        <f t="shared" si="48"/>
        <v>5000</v>
      </c>
      <c r="I410" s="493">
        <v>0</v>
      </c>
      <c r="J410" s="493">
        <f t="shared" si="44"/>
        <v>0</v>
      </c>
      <c r="K410" s="868"/>
      <c r="L410" s="493">
        <f t="shared" si="45"/>
        <v>-5000</v>
      </c>
      <c r="M410" s="868">
        <f t="shared" si="46"/>
        <v>-1</v>
      </c>
    </row>
    <row r="411" spans="1:13" x14ac:dyDescent="0.2">
      <c r="C411" s="307"/>
      <c r="D411" s="202"/>
      <c r="E411" s="202"/>
      <c r="F411" s="493">
        <v>0</v>
      </c>
      <c r="G411" s="493"/>
      <c r="H411" s="493">
        <f t="shared" si="48"/>
        <v>0</v>
      </c>
      <c r="I411" s="493">
        <v>0</v>
      </c>
      <c r="J411" s="493">
        <f t="shared" si="44"/>
        <v>0</v>
      </c>
      <c r="K411" s="868"/>
      <c r="L411" s="493">
        <f t="shared" si="45"/>
        <v>0</v>
      </c>
      <c r="M411" s="868"/>
    </row>
    <row r="412" spans="1:13" x14ac:dyDescent="0.2">
      <c r="A412" s="459" t="s">
        <v>864</v>
      </c>
      <c r="B412" s="459" t="s">
        <v>120</v>
      </c>
      <c r="C412" s="104" t="s">
        <v>978</v>
      </c>
      <c r="D412" s="233"/>
      <c r="E412" s="233"/>
      <c r="F412" s="233">
        <v>43922</v>
      </c>
      <c r="G412" s="233"/>
      <c r="H412" s="233">
        <f t="shared" si="48"/>
        <v>43922</v>
      </c>
      <c r="I412" s="233">
        <v>43900</v>
      </c>
      <c r="J412" s="233">
        <f t="shared" si="44"/>
        <v>43900</v>
      </c>
      <c r="K412" s="916"/>
      <c r="L412" s="233">
        <f t="shared" si="45"/>
        <v>-22</v>
      </c>
      <c r="M412" s="916">
        <f t="shared" si="46"/>
        <v>-5.0088793770775464E-4</v>
      </c>
    </row>
    <row r="413" spans="1:13" s="486" customFormat="1" x14ac:dyDescent="0.2">
      <c r="A413" s="503"/>
      <c r="B413" s="503"/>
      <c r="C413" s="327" t="s">
        <v>979</v>
      </c>
      <c r="D413" s="489"/>
      <c r="E413" s="489"/>
      <c r="F413" s="489">
        <v>20000</v>
      </c>
      <c r="G413" s="489"/>
      <c r="H413" s="489">
        <f t="shared" si="48"/>
        <v>20000</v>
      </c>
      <c r="I413" s="489">
        <v>20000</v>
      </c>
      <c r="J413" s="489">
        <f t="shared" si="44"/>
        <v>20000</v>
      </c>
      <c r="K413" s="869"/>
      <c r="L413" s="489">
        <f t="shared" si="45"/>
        <v>0</v>
      </c>
      <c r="M413" s="869">
        <f t="shared" si="46"/>
        <v>0</v>
      </c>
    </row>
    <row r="414" spans="1:13" s="486" customFormat="1" x14ac:dyDescent="0.2">
      <c r="A414" s="503"/>
      <c r="B414" s="503"/>
      <c r="C414" s="308"/>
      <c r="D414" s="489"/>
      <c r="E414" s="489"/>
      <c r="F414" s="489">
        <v>0</v>
      </c>
      <c r="G414" s="489"/>
      <c r="H414" s="489">
        <f>D414+E414+F414+G414</f>
        <v>0</v>
      </c>
      <c r="I414" s="489">
        <v>0</v>
      </c>
      <c r="J414" s="489">
        <f>I414-D414</f>
        <v>0</v>
      </c>
      <c r="K414" s="869"/>
      <c r="L414" s="489">
        <f>I414-H414</f>
        <v>0</v>
      </c>
      <c r="M414" s="869"/>
    </row>
    <row r="415" spans="1:13" x14ac:dyDescent="0.2">
      <c r="A415" s="459" t="s">
        <v>863</v>
      </c>
      <c r="B415" s="459" t="s">
        <v>120</v>
      </c>
      <c r="C415" s="307" t="s">
        <v>607</v>
      </c>
      <c r="D415" s="202">
        <v>18000</v>
      </c>
      <c r="E415" s="202"/>
      <c r="F415" s="493">
        <v>0</v>
      </c>
      <c r="G415" s="493"/>
      <c r="H415" s="493">
        <f>D415+E415+F415+G415</f>
        <v>18000</v>
      </c>
      <c r="I415" s="493">
        <v>18000</v>
      </c>
      <c r="J415" s="493">
        <f>I415-D415</f>
        <v>0</v>
      </c>
      <c r="K415" s="868">
        <f>J415/D415</f>
        <v>0</v>
      </c>
      <c r="L415" s="493">
        <f>I415-H415</f>
        <v>0</v>
      </c>
      <c r="M415" s="868">
        <f>L415/H415</f>
        <v>0</v>
      </c>
    </row>
    <row r="416" spans="1:13" s="486" customFormat="1" x14ac:dyDescent="0.2">
      <c r="A416" s="503"/>
      <c r="B416" s="503"/>
      <c r="C416" s="6"/>
      <c r="D416" s="10"/>
      <c r="E416" s="10"/>
      <c r="F416" s="10">
        <v>0</v>
      </c>
      <c r="G416" s="10"/>
      <c r="H416" s="10">
        <f>D416+E416+F416+G416</f>
        <v>0</v>
      </c>
      <c r="I416" s="10">
        <v>0</v>
      </c>
      <c r="J416" s="10">
        <f>I416-D416</f>
        <v>0</v>
      </c>
      <c r="K416" s="907"/>
      <c r="L416" s="10">
        <f>I416-H416</f>
        <v>0</v>
      </c>
      <c r="M416" s="907"/>
    </row>
    <row r="417" spans="1:13" s="486" customFormat="1" x14ac:dyDescent="0.2">
      <c r="A417" s="459" t="s">
        <v>863</v>
      </c>
      <c r="B417" s="459" t="s">
        <v>120</v>
      </c>
      <c r="C417" s="307" t="s">
        <v>608</v>
      </c>
      <c r="D417" s="202">
        <v>52630</v>
      </c>
      <c r="E417" s="202"/>
      <c r="F417" s="493">
        <v>0</v>
      </c>
      <c r="G417" s="493"/>
      <c r="H417" s="493">
        <f>D417+E417+F417+G417</f>
        <v>52630</v>
      </c>
      <c r="I417" s="493">
        <v>52630</v>
      </c>
      <c r="J417" s="493">
        <f>I417-D417</f>
        <v>0</v>
      </c>
      <c r="K417" s="868">
        <f>J417/D417</f>
        <v>0</v>
      </c>
      <c r="L417" s="493">
        <f>I417-H417</f>
        <v>0</v>
      </c>
      <c r="M417" s="868">
        <f>L417/H417</f>
        <v>0</v>
      </c>
    </row>
    <row r="418" spans="1:13" s="486" customFormat="1" x14ac:dyDescent="0.2">
      <c r="A418" s="459"/>
      <c r="B418" s="459"/>
      <c r="C418" s="307"/>
      <c r="D418" s="493"/>
      <c r="E418" s="493"/>
      <c r="F418" s="493"/>
      <c r="G418" s="493"/>
      <c r="H418" s="493">
        <f>D418+E418+F418+G418</f>
        <v>0</v>
      </c>
      <c r="I418" s="493">
        <v>0</v>
      </c>
      <c r="J418" s="493">
        <f>I418-D418</f>
        <v>0</v>
      </c>
      <c r="K418" s="868"/>
      <c r="L418" s="493">
        <f>I418-H418</f>
        <v>0</v>
      </c>
      <c r="M418" s="868"/>
    </row>
    <row r="419" spans="1:13" x14ac:dyDescent="0.2">
      <c r="C419" s="103"/>
      <c r="D419" s="489"/>
      <c r="E419" s="489"/>
      <c r="F419" s="489">
        <v>0</v>
      </c>
      <c r="G419" s="489"/>
      <c r="H419" s="489">
        <f t="shared" si="48"/>
        <v>0</v>
      </c>
      <c r="I419" s="489">
        <v>0</v>
      </c>
      <c r="J419" s="489">
        <f t="shared" si="44"/>
        <v>0</v>
      </c>
      <c r="K419" s="869"/>
      <c r="L419" s="489">
        <f t="shared" si="45"/>
        <v>0</v>
      </c>
      <c r="M419" s="869"/>
    </row>
    <row r="420" spans="1:13" ht="38.25" x14ac:dyDescent="0.2">
      <c r="A420" s="459" t="s">
        <v>863</v>
      </c>
      <c r="B420" s="459" t="s">
        <v>120</v>
      </c>
      <c r="C420" s="351" t="s">
        <v>678</v>
      </c>
      <c r="D420" s="223">
        <v>965405</v>
      </c>
      <c r="E420" s="223"/>
      <c r="F420" s="223">
        <v>0</v>
      </c>
      <c r="G420" s="223"/>
      <c r="H420" s="223">
        <f t="shared" si="48"/>
        <v>965405</v>
      </c>
      <c r="I420" s="223">
        <v>0</v>
      </c>
      <c r="J420" s="223">
        <f t="shared" si="44"/>
        <v>-965405</v>
      </c>
      <c r="K420" s="916">
        <f t="shared" si="47"/>
        <v>-1</v>
      </c>
      <c r="L420" s="223">
        <f t="shared" si="45"/>
        <v>-965405</v>
      </c>
      <c r="M420" s="916">
        <f t="shared" si="46"/>
        <v>-1</v>
      </c>
    </row>
    <row r="421" spans="1:13" x14ac:dyDescent="0.2">
      <c r="C421" s="307"/>
      <c r="D421" s="202"/>
      <c r="E421" s="202"/>
      <c r="F421" s="493">
        <v>0</v>
      </c>
      <c r="G421" s="493"/>
      <c r="H421" s="493">
        <f t="shared" si="48"/>
        <v>0</v>
      </c>
      <c r="I421" s="493">
        <v>0</v>
      </c>
      <c r="J421" s="493">
        <f t="shared" si="44"/>
        <v>0</v>
      </c>
      <c r="K421" s="868"/>
      <c r="L421" s="493">
        <f t="shared" si="45"/>
        <v>0</v>
      </c>
      <c r="M421" s="868"/>
    </row>
    <row r="422" spans="1:13" x14ac:dyDescent="0.2">
      <c r="C422" s="299" t="s">
        <v>329</v>
      </c>
      <c r="D422" s="196">
        <v>697505</v>
      </c>
      <c r="E422" s="196"/>
      <c r="F422" s="495">
        <v>0</v>
      </c>
      <c r="G422" s="495"/>
      <c r="H422" s="495">
        <f t="shared" si="48"/>
        <v>697505</v>
      </c>
      <c r="I422" s="495">
        <v>0</v>
      </c>
      <c r="J422" s="495">
        <f t="shared" si="44"/>
        <v>-697505</v>
      </c>
      <c r="K422" s="888">
        <f t="shared" si="47"/>
        <v>-1</v>
      </c>
      <c r="L422" s="495">
        <f t="shared" si="45"/>
        <v>-697505</v>
      </c>
      <c r="M422" s="888">
        <f t="shared" si="46"/>
        <v>-1</v>
      </c>
    </row>
    <row r="423" spans="1:13" ht="24" x14ac:dyDescent="0.2">
      <c r="C423" s="299" t="s">
        <v>677</v>
      </c>
      <c r="D423" s="196">
        <v>144811</v>
      </c>
      <c r="E423" s="196"/>
      <c r="F423" s="495">
        <v>0</v>
      </c>
      <c r="G423" s="495"/>
      <c r="H423" s="495">
        <f t="shared" si="48"/>
        <v>144811</v>
      </c>
      <c r="I423" s="495">
        <v>0</v>
      </c>
      <c r="J423" s="495">
        <f t="shared" si="44"/>
        <v>-144811</v>
      </c>
      <c r="K423" s="888">
        <f t="shared" si="47"/>
        <v>-1</v>
      </c>
      <c r="L423" s="495">
        <f t="shared" si="45"/>
        <v>-144811</v>
      </c>
      <c r="M423" s="888">
        <f t="shared" si="46"/>
        <v>-1</v>
      </c>
    </row>
    <row r="424" spans="1:13" x14ac:dyDescent="0.2">
      <c r="C424" s="352"/>
      <c r="D424" s="186"/>
      <c r="E424" s="186"/>
      <c r="F424" s="186">
        <v>0</v>
      </c>
      <c r="G424" s="186"/>
      <c r="H424" s="186">
        <f t="shared" si="48"/>
        <v>0</v>
      </c>
      <c r="I424" s="186">
        <v>0</v>
      </c>
      <c r="J424" s="186">
        <f t="shared" si="44"/>
        <v>0</v>
      </c>
      <c r="K424" s="917"/>
      <c r="L424" s="186">
        <f t="shared" si="45"/>
        <v>0</v>
      </c>
      <c r="M424" s="917"/>
    </row>
    <row r="425" spans="1:13" ht="25.5" x14ac:dyDescent="0.2">
      <c r="A425" s="459" t="s">
        <v>863</v>
      </c>
      <c r="B425" s="459" t="s">
        <v>120</v>
      </c>
      <c r="C425" s="351" t="s">
        <v>585</v>
      </c>
      <c r="D425" s="223">
        <v>13613</v>
      </c>
      <c r="E425" s="223"/>
      <c r="F425" s="223">
        <v>0</v>
      </c>
      <c r="G425" s="223"/>
      <c r="H425" s="223">
        <f t="shared" si="48"/>
        <v>13613</v>
      </c>
      <c r="I425" s="223">
        <v>0</v>
      </c>
      <c r="J425" s="223">
        <f t="shared" si="44"/>
        <v>-13613</v>
      </c>
      <c r="K425" s="916">
        <f t="shared" si="47"/>
        <v>-1</v>
      </c>
      <c r="L425" s="223">
        <f t="shared" si="45"/>
        <v>-13613</v>
      </c>
      <c r="M425" s="916">
        <f t="shared" si="46"/>
        <v>-1</v>
      </c>
    </row>
    <row r="426" spans="1:13" x14ac:dyDescent="0.2">
      <c r="C426" s="308" t="s">
        <v>119</v>
      </c>
      <c r="D426" s="489">
        <f>1229+6968</f>
        <v>8197</v>
      </c>
      <c r="E426" s="145"/>
      <c r="F426" s="489">
        <v>0</v>
      </c>
      <c r="G426" s="782">
        <v>440</v>
      </c>
      <c r="H426" s="489">
        <f t="shared" si="48"/>
        <v>8637</v>
      </c>
      <c r="I426" s="489">
        <v>0</v>
      </c>
      <c r="J426" s="489">
        <f t="shared" si="44"/>
        <v>-8197</v>
      </c>
      <c r="K426" s="869">
        <f t="shared" si="47"/>
        <v>-1</v>
      </c>
      <c r="L426" s="489">
        <f t="shared" si="45"/>
        <v>-8637</v>
      </c>
      <c r="M426" s="869">
        <f t="shared" si="46"/>
        <v>-1</v>
      </c>
    </row>
    <row r="427" spans="1:13" x14ac:dyDescent="0.2">
      <c r="C427" s="353"/>
      <c r="D427" s="224"/>
      <c r="E427" s="224"/>
      <c r="F427" s="224">
        <v>0</v>
      </c>
      <c r="G427" s="224"/>
      <c r="H427" s="224">
        <f t="shared" si="48"/>
        <v>0</v>
      </c>
      <c r="I427" s="224">
        <v>0</v>
      </c>
      <c r="J427" s="224">
        <f t="shared" si="44"/>
        <v>0</v>
      </c>
      <c r="K427" s="918"/>
      <c r="L427" s="224">
        <f t="shared" si="45"/>
        <v>0</v>
      </c>
      <c r="M427" s="918"/>
    </row>
    <row r="428" spans="1:13" x14ac:dyDescent="0.2">
      <c r="C428" s="299" t="s">
        <v>329</v>
      </c>
      <c r="D428" s="196">
        <v>11571</v>
      </c>
      <c r="E428" s="196"/>
      <c r="F428" s="495">
        <v>0</v>
      </c>
      <c r="G428" s="495"/>
      <c r="H428" s="495">
        <f t="shared" si="48"/>
        <v>11571</v>
      </c>
      <c r="I428" s="495">
        <v>0</v>
      </c>
      <c r="J428" s="495">
        <f t="shared" si="44"/>
        <v>-11571</v>
      </c>
      <c r="K428" s="888">
        <f t="shared" si="47"/>
        <v>-1</v>
      </c>
      <c r="L428" s="495">
        <f t="shared" si="45"/>
        <v>-11571</v>
      </c>
      <c r="M428" s="888">
        <f t="shared" si="46"/>
        <v>-1</v>
      </c>
    </row>
    <row r="429" spans="1:13" x14ac:dyDescent="0.2">
      <c r="C429" s="354"/>
      <c r="D429" s="137"/>
      <c r="E429" s="137"/>
      <c r="F429" s="137">
        <v>0</v>
      </c>
      <c r="G429" s="137"/>
      <c r="H429" s="137">
        <f t="shared" si="48"/>
        <v>0</v>
      </c>
      <c r="I429" s="137">
        <v>0</v>
      </c>
      <c r="J429" s="137">
        <f t="shared" si="44"/>
        <v>0</v>
      </c>
      <c r="K429" s="919"/>
      <c r="L429" s="137">
        <f t="shared" si="45"/>
        <v>0</v>
      </c>
      <c r="M429" s="919"/>
    </row>
    <row r="430" spans="1:13" ht="38.25" x14ac:dyDescent="0.2">
      <c r="A430" s="459" t="s">
        <v>863</v>
      </c>
      <c r="B430" s="459" t="s">
        <v>120</v>
      </c>
      <c r="C430" s="351" t="s">
        <v>679</v>
      </c>
      <c r="D430" s="223">
        <v>81156</v>
      </c>
      <c r="E430" s="223"/>
      <c r="F430" s="223">
        <v>0</v>
      </c>
      <c r="G430" s="223"/>
      <c r="H430" s="223">
        <f t="shared" si="48"/>
        <v>81156</v>
      </c>
      <c r="I430" s="223">
        <v>0</v>
      </c>
      <c r="J430" s="223">
        <f t="shared" si="44"/>
        <v>-81156</v>
      </c>
      <c r="K430" s="916">
        <f t="shared" si="47"/>
        <v>-1</v>
      </c>
      <c r="L430" s="223">
        <f t="shared" si="45"/>
        <v>-81156</v>
      </c>
      <c r="M430" s="916">
        <f t="shared" si="46"/>
        <v>-1</v>
      </c>
    </row>
    <row r="431" spans="1:13" x14ac:dyDescent="0.2">
      <c r="C431" s="308" t="s">
        <v>119</v>
      </c>
      <c r="D431" s="489">
        <v>42814</v>
      </c>
      <c r="E431" s="145"/>
      <c r="F431" s="489">
        <v>0</v>
      </c>
      <c r="G431" s="489"/>
      <c r="H431" s="489">
        <f t="shared" si="48"/>
        <v>42814</v>
      </c>
      <c r="I431" s="489">
        <v>0</v>
      </c>
      <c r="J431" s="489">
        <f t="shared" si="44"/>
        <v>-42814</v>
      </c>
      <c r="K431" s="869">
        <f t="shared" si="47"/>
        <v>-1</v>
      </c>
      <c r="L431" s="489">
        <f t="shared" si="45"/>
        <v>-42814</v>
      </c>
      <c r="M431" s="869">
        <f t="shared" si="46"/>
        <v>-1</v>
      </c>
    </row>
    <row r="432" spans="1:13" x14ac:dyDescent="0.2">
      <c r="C432" s="36"/>
      <c r="D432" s="120"/>
      <c r="E432" s="120"/>
      <c r="F432" s="120">
        <v>0</v>
      </c>
      <c r="G432" s="120"/>
      <c r="H432" s="120">
        <f t="shared" si="48"/>
        <v>0</v>
      </c>
      <c r="I432" s="120">
        <v>0</v>
      </c>
      <c r="J432" s="120">
        <f t="shared" si="44"/>
        <v>0</v>
      </c>
      <c r="K432" s="920"/>
      <c r="L432" s="120">
        <f t="shared" si="45"/>
        <v>0</v>
      </c>
      <c r="M432" s="920"/>
    </row>
    <row r="433" spans="1:13" x14ac:dyDescent="0.2">
      <c r="C433" s="299" t="s">
        <v>329</v>
      </c>
      <c r="D433" s="196">
        <v>68983</v>
      </c>
      <c r="E433" s="196"/>
      <c r="F433" s="495">
        <v>0</v>
      </c>
      <c r="G433" s="495"/>
      <c r="H433" s="495">
        <f t="shared" si="48"/>
        <v>68983</v>
      </c>
      <c r="I433" s="495">
        <v>0</v>
      </c>
      <c r="J433" s="495">
        <f t="shared" si="44"/>
        <v>-68983</v>
      </c>
      <c r="K433" s="888">
        <f t="shared" si="47"/>
        <v>-1</v>
      </c>
      <c r="L433" s="495">
        <f t="shared" si="45"/>
        <v>-68983</v>
      </c>
      <c r="M433" s="888">
        <f t="shared" si="46"/>
        <v>-1</v>
      </c>
    </row>
    <row r="434" spans="1:13" x14ac:dyDescent="0.2">
      <c r="C434" s="354"/>
      <c r="D434" s="137"/>
      <c r="E434" s="137"/>
      <c r="F434" s="137">
        <v>0</v>
      </c>
      <c r="G434" s="137"/>
      <c r="H434" s="137">
        <f t="shared" si="48"/>
        <v>0</v>
      </c>
      <c r="I434" s="137">
        <v>0</v>
      </c>
      <c r="J434" s="137">
        <f t="shared" si="44"/>
        <v>0</v>
      </c>
      <c r="K434" s="919"/>
      <c r="L434" s="137">
        <f t="shared" si="45"/>
        <v>0</v>
      </c>
      <c r="M434" s="919"/>
    </row>
    <row r="435" spans="1:13" ht="38.25" x14ac:dyDescent="0.2">
      <c r="A435" s="459" t="s">
        <v>863</v>
      </c>
      <c r="B435" s="459" t="s">
        <v>120</v>
      </c>
      <c r="C435" s="351" t="s">
        <v>680</v>
      </c>
      <c r="D435" s="120">
        <v>47083</v>
      </c>
      <c r="E435" s="120"/>
      <c r="F435" s="120">
        <v>0</v>
      </c>
      <c r="G435" s="120"/>
      <c r="H435" s="120">
        <f t="shared" si="48"/>
        <v>47083</v>
      </c>
      <c r="I435" s="120">
        <v>0</v>
      </c>
      <c r="J435" s="120">
        <f t="shared" si="44"/>
        <v>-47083</v>
      </c>
      <c r="K435" s="920">
        <f t="shared" si="47"/>
        <v>-1</v>
      </c>
      <c r="L435" s="120">
        <f t="shared" si="45"/>
        <v>-47083</v>
      </c>
      <c r="M435" s="920">
        <f t="shared" si="46"/>
        <v>-1</v>
      </c>
    </row>
    <row r="436" spans="1:13" x14ac:dyDescent="0.2">
      <c r="C436" s="308" t="s">
        <v>119</v>
      </c>
      <c r="D436" s="489">
        <f>22103-3203</f>
        <v>18900</v>
      </c>
      <c r="E436" s="145"/>
      <c r="F436" s="489">
        <v>0</v>
      </c>
      <c r="G436" s="489"/>
      <c r="H436" s="489">
        <f t="shared" si="48"/>
        <v>18900</v>
      </c>
      <c r="I436" s="489">
        <v>0</v>
      </c>
      <c r="J436" s="489">
        <f t="shared" si="44"/>
        <v>-18900</v>
      </c>
      <c r="K436" s="869">
        <f t="shared" si="47"/>
        <v>-1</v>
      </c>
      <c r="L436" s="489">
        <f t="shared" si="45"/>
        <v>-18900</v>
      </c>
      <c r="M436" s="869">
        <f t="shared" si="46"/>
        <v>-1</v>
      </c>
    </row>
    <row r="437" spans="1:13" x14ac:dyDescent="0.2">
      <c r="C437" s="36"/>
      <c r="D437" s="120"/>
      <c r="E437" s="120"/>
      <c r="F437" s="120">
        <v>0</v>
      </c>
      <c r="G437" s="120"/>
      <c r="H437" s="120">
        <f t="shared" si="48"/>
        <v>0</v>
      </c>
      <c r="I437" s="120">
        <v>0</v>
      </c>
      <c r="J437" s="120">
        <f t="shared" si="44"/>
        <v>0</v>
      </c>
      <c r="K437" s="920"/>
      <c r="L437" s="120">
        <f t="shared" si="45"/>
        <v>0</v>
      </c>
      <c r="M437" s="920"/>
    </row>
    <row r="438" spans="1:13" x14ac:dyDescent="0.2">
      <c r="C438" s="299" t="s">
        <v>329</v>
      </c>
      <c r="D438" s="196">
        <v>40021</v>
      </c>
      <c r="E438" s="196"/>
      <c r="F438" s="495">
        <v>0</v>
      </c>
      <c r="G438" s="495"/>
      <c r="H438" s="495">
        <f t="shared" si="48"/>
        <v>40021</v>
      </c>
      <c r="I438" s="495">
        <v>0</v>
      </c>
      <c r="J438" s="495">
        <f t="shared" si="44"/>
        <v>-40021</v>
      </c>
      <c r="K438" s="888">
        <f t="shared" si="47"/>
        <v>-1</v>
      </c>
      <c r="L438" s="495">
        <f t="shared" si="45"/>
        <v>-40021</v>
      </c>
      <c r="M438" s="888">
        <f t="shared" si="46"/>
        <v>-1</v>
      </c>
    </row>
    <row r="439" spans="1:13" s="486" customFormat="1" x14ac:dyDescent="0.2">
      <c r="A439" s="503"/>
      <c r="B439" s="503"/>
      <c r="C439" s="354"/>
      <c r="D439" s="137"/>
      <c r="E439" s="137"/>
      <c r="F439" s="137">
        <v>0</v>
      </c>
      <c r="G439" s="137"/>
      <c r="H439" s="137">
        <f t="shared" si="48"/>
        <v>0</v>
      </c>
      <c r="I439" s="137">
        <v>0</v>
      </c>
      <c r="J439" s="137">
        <f t="shared" si="44"/>
        <v>0</v>
      </c>
      <c r="K439" s="919"/>
      <c r="L439" s="137">
        <f t="shared" si="45"/>
        <v>0</v>
      </c>
      <c r="M439" s="919"/>
    </row>
    <row r="440" spans="1:13" s="486" customFormat="1" ht="25.5" x14ac:dyDescent="0.2">
      <c r="A440" s="459" t="s">
        <v>863</v>
      </c>
      <c r="B440" s="459" t="s">
        <v>120</v>
      </c>
      <c r="C440" s="351" t="s">
        <v>1029</v>
      </c>
      <c r="D440" s="137"/>
      <c r="E440" s="137"/>
      <c r="F440" s="137"/>
      <c r="G440" s="137"/>
      <c r="H440" s="137">
        <f t="shared" si="48"/>
        <v>0</v>
      </c>
      <c r="I440" s="120">
        <v>58515</v>
      </c>
      <c r="J440" s="120">
        <f t="shared" si="44"/>
        <v>58515</v>
      </c>
      <c r="K440" s="120"/>
      <c r="L440" s="120">
        <f t="shared" si="45"/>
        <v>58515</v>
      </c>
      <c r="M440" s="919"/>
    </row>
    <row r="441" spans="1:13" s="486" customFormat="1" x14ac:dyDescent="0.2">
      <c r="A441" s="503"/>
      <c r="B441" s="503"/>
      <c r="C441" s="573" t="s">
        <v>119</v>
      </c>
      <c r="D441" s="137"/>
      <c r="E441" s="137"/>
      <c r="F441" s="137"/>
      <c r="G441" s="137"/>
      <c r="H441" s="137">
        <f t="shared" si="48"/>
        <v>0</v>
      </c>
      <c r="I441" s="489">
        <v>35500</v>
      </c>
      <c r="J441" s="489">
        <f t="shared" si="44"/>
        <v>35500</v>
      </c>
      <c r="K441" s="489"/>
      <c r="L441" s="489">
        <f t="shared" si="45"/>
        <v>35500</v>
      </c>
      <c r="M441" s="919"/>
    </row>
    <row r="442" spans="1:13" s="486" customFormat="1" x14ac:dyDescent="0.2">
      <c r="A442" s="503"/>
      <c r="B442" s="503"/>
      <c r="C442" s="17"/>
      <c r="D442" s="137"/>
      <c r="E442" s="137"/>
      <c r="F442" s="137"/>
      <c r="G442" s="137"/>
      <c r="H442" s="137">
        <f t="shared" si="48"/>
        <v>0</v>
      </c>
      <c r="I442" s="120">
        <v>0</v>
      </c>
      <c r="J442" s="120">
        <f t="shared" si="44"/>
        <v>0</v>
      </c>
      <c r="K442" s="120"/>
      <c r="L442" s="120">
        <f t="shared" si="45"/>
        <v>0</v>
      </c>
      <c r="M442" s="919"/>
    </row>
    <row r="443" spans="1:13" s="486" customFormat="1" x14ac:dyDescent="0.2">
      <c r="A443" s="503"/>
      <c r="B443" s="503"/>
      <c r="C443" s="696" t="s">
        <v>329</v>
      </c>
      <c r="D443" s="137"/>
      <c r="E443" s="137"/>
      <c r="F443" s="137"/>
      <c r="G443" s="137"/>
      <c r="H443" s="137">
        <f t="shared" si="48"/>
        <v>0</v>
      </c>
      <c r="I443" s="495">
        <v>58515</v>
      </c>
      <c r="J443" s="495">
        <f t="shared" si="44"/>
        <v>58515</v>
      </c>
      <c r="K443" s="495"/>
      <c r="L443" s="495">
        <f t="shared" si="45"/>
        <v>58515</v>
      </c>
      <c r="M443" s="919"/>
    </row>
    <row r="444" spans="1:13" s="486" customFormat="1" x14ac:dyDescent="0.2">
      <c r="A444" s="503"/>
      <c r="B444" s="503"/>
      <c r="C444" s="696"/>
      <c r="D444" s="137"/>
      <c r="E444" s="137"/>
      <c r="F444" s="137"/>
      <c r="G444" s="137"/>
      <c r="H444" s="137">
        <f t="shared" si="48"/>
        <v>0</v>
      </c>
      <c r="I444" s="137">
        <v>0</v>
      </c>
      <c r="J444" s="137">
        <f t="shared" si="44"/>
        <v>0</v>
      </c>
      <c r="K444" s="919"/>
      <c r="L444" s="137">
        <f t="shared" si="45"/>
        <v>0</v>
      </c>
      <c r="M444" s="919"/>
    </row>
    <row r="445" spans="1:13" x14ac:dyDescent="0.2">
      <c r="C445" s="696"/>
      <c r="D445" s="137"/>
      <c r="E445" s="137"/>
      <c r="F445" s="137"/>
      <c r="G445" s="137"/>
      <c r="H445" s="137">
        <f t="shared" si="48"/>
        <v>0</v>
      </c>
      <c r="I445" s="137">
        <v>0</v>
      </c>
      <c r="J445" s="137">
        <f t="shared" si="44"/>
        <v>0</v>
      </c>
      <c r="K445" s="919"/>
      <c r="L445" s="137">
        <f t="shared" si="45"/>
        <v>0</v>
      </c>
      <c r="M445" s="919"/>
    </row>
    <row r="446" spans="1:13" ht="15.75" x14ac:dyDescent="0.2">
      <c r="C446" s="289" t="s">
        <v>769</v>
      </c>
      <c r="D446" s="176"/>
      <c r="E446" s="176"/>
      <c r="F446" s="176">
        <v>0</v>
      </c>
      <c r="G446" s="176"/>
      <c r="H446" s="176">
        <f t="shared" si="48"/>
        <v>0</v>
      </c>
      <c r="I446" s="176">
        <v>0</v>
      </c>
      <c r="J446" s="176">
        <f t="shared" si="44"/>
        <v>0</v>
      </c>
      <c r="K446" s="906"/>
      <c r="L446" s="176">
        <f t="shared" si="45"/>
        <v>0</v>
      </c>
      <c r="M446" s="906"/>
    </row>
    <row r="447" spans="1:13" ht="15" x14ac:dyDescent="0.2">
      <c r="C447" s="99"/>
      <c r="D447" s="169"/>
      <c r="E447" s="169"/>
      <c r="F447" s="169">
        <v>0</v>
      </c>
      <c r="G447" s="169"/>
      <c r="H447" s="169">
        <f t="shared" si="48"/>
        <v>0</v>
      </c>
      <c r="I447" s="169"/>
      <c r="J447" s="169"/>
      <c r="K447" s="921"/>
      <c r="L447" s="169"/>
      <c r="M447" s="921"/>
    </row>
    <row r="448" spans="1:13" x14ac:dyDescent="0.2">
      <c r="C448" s="100" t="s">
        <v>193</v>
      </c>
      <c r="D448" s="170">
        <f>D457+D461+D482+D514</f>
        <v>34728744</v>
      </c>
      <c r="E448" s="170"/>
      <c r="F448" s="488">
        <f>F457+F461+F482+F514</f>
        <v>696009</v>
      </c>
      <c r="G448" s="488">
        <f>G457+G461+G482+G514</f>
        <v>-1224279</v>
      </c>
      <c r="H448" s="488">
        <f t="shared" si="48"/>
        <v>34200474</v>
      </c>
      <c r="I448" s="488">
        <v>35913336</v>
      </c>
      <c r="J448" s="488">
        <f t="shared" si="44"/>
        <v>1184592</v>
      </c>
      <c r="K448" s="865">
        <f t="shared" si="47"/>
        <v>3.4109842843726222E-2</v>
      </c>
      <c r="L448" s="488">
        <f t="shared" si="45"/>
        <v>1712862</v>
      </c>
      <c r="M448" s="865">
        <f t="shared" si="46"/>
        <v>5.0082990077856819E-2</v>
      </c>
    </row>
    <row r="449" spans="1:13" x14ac:dyDescent="0.2">
      <c r="C449" s="101" t="s">
        <v>479</v>
      </c>
      <c r="D449" s="182">
        <f>2000000+3417170</f>
        <v>5417170</v>
      </c>
      <c r="E449" s="182"/>
      <c r="F449" s="491"/>
      <c r="G449" s="491"/>
      <c r="H449" s="491">
        <f t="shared" si="48"/>
        <v>5417170</v>
      </c>
      <c r="I449" s="491">
        <v>5000000</v>
      </c>
      <c r="J449" s="491">
        <f t="shared" si="44"/>
        <v>-417170</v>
      </c>
      <c r="K449" s="866">
        <f t="shared" si="47"/>
        <v>-7.7008844101255816E-2</v>
      </c>
      <c r="L449" s="491">
        <f t="shared" si="45"/>
        <v>-417170</v>
      </c>
      <c r="M449" s="866">
        <f t="shared" si="46"/>
        <v>-7.7008844101255816E-2</v>
      </c>
    </row>
    <row r="450" spans="1:13" x14ac:dyDescent="0.2">
      <c r="C450" s="329" t="s">
        <v>116</v>
      </c>
      <c r="D450" s="183">
        <f>SUM(D451:D454)</f>
        <v>34728744</v>
      </c>
      <c r="E450" s="183"/>
      <c r="F450" s="183">
        <f>SUM(F451:F454)</f>
        <v>696009</v>
      </c>
      <c r="G450" s="183">
        <f>SUM(G451:G454)</f>
        <v>-1224279</v>
      </c>
      <c r="H450" s="183">
        <f t="shared" si="48"/>
        <v>34200474</v>
      </c>
      <c r="I450" s="183">
        <v>35913336</v>
      </c>
      <c r="J450" s="183">
        <f t="shared" si="44"/>
        <v>1184592</v>
      </c>
      <c r="K450" s="528">
        <f t="shared" si="47"/>
        <v>3.4109842843726222E-2</v>
      </c>
      <c r="L450" s="183">
        <f t="shared" si="45"/>
        <v>1712862</v>
      </c>
      <c r="M450" s="528">
        <f t="shared" si="46"/>
        <v>5.0082990077856819E-2</v>
      </c>
    </row>
    <row r="451" spans="1:13" s="486" customFormat="1" x14ac:dyDescent="0.2">
      <c r="A451" s="503"/>
      <c r="B451" s="503"/>
      <c r="C451" s="102" t="s">
        <v>117</v>
      </c>
      <c r="D451" s="182">
        <f>'2.2 OMATULUD'!B126</f>
        <v>9324758</v>
      </c>
      <c r="E451" s="182"/>
      <c r="F451" s="491">
        <v>-1184734</v>
      </c>
      <c r="G451" s="491">
        <f>'2.2 OMATULUD'!D126</f>
        <v>-1068151</v>
      </c>
      <c r="H451" s="491">
        <f t="shared" si="48"/>
        <v>7071873</v>
      </c>
      <c r="I451" s="491">
        <v>9431620</v>
      </c>
      <c r="J451" s="491">
        <f t="shared" si="44"/>
        <v>106862</v>
      </c>
      <c r="K451" s="866">
        <f t="shared" si="47"/>
        <v>1.1460029311216442E-2</v>
      </c>
      <c r="L451" s="491">
        <f t="shared" si="45"/>
        <v>2359747</v>
      </c>
      <c r="M451" s="866">
        <f t="shared" si="46"/>
        <v>0.33368062463791415</v>
      </c>
    </row>
    <row r="452" spans="1:13" x14ac:dyDescent="0.2">
      <c r="C452" s="95" t="s">
        <v>0</v>
      </c>
      <c r="D452" s="491"/>
      <c r="E452" s="491"/>
      <c r="F452" s="491">
        <v>155118</v>
      </c>
      <c r="G452" s="491">
        <v>249432</v>
      </c>
      <c r="H452" s="491">
        <f t="shared" si="48"/>
        <v>404550</v>
      </c>
      <c r="I452" s="491">
        <v>953466</v>
      </c>
      <c r="J452" s="491">
        <f t="shared" ref="J452:J499" si="49">I452-D452</f>
        <v>953466</v>
      </c>
      <c r="K452" s="866"/>
      <c r="L452" s="491">
        <f t="shared" ref="L452:L499" si="50">I452-H452</f>
        <v>548916</v>
      </c>
      <c r="M452" s="866">
        <f t="shared" ref="M452:M499" si="51">L452/H452</f>
        <v>1.3568557656655542</v>
      </c>
    </row>
    <row r="453" spans="1:13" x14ac:dyDescent="0.2">
      <c r="C453" s="95" t="s">
        <v>105</v>
      </c>
      <c r="D453" s="182">
        <v>26626</v>
      </c>
      <c r="E453" s="182"/>
      <c r="F453" s="491">
        <v>1700</v>
      </c>
      <c r="G453" s="491"/>
      <c r="H453" s="491">
        <f t="shared" si="48"/>
        <v>28326</v>
      </c>
      <c r="I453" s="491">
        <v>0</v>
      </c>
      <c r="J453" s="491">
        <f t="shared" si="49"/>
        <v>-26626</v>
      </c>
      <c r="K453" s="866">
        <f t="shared" ref="K453:K499" si="52">J453/D453</f>
        <v>-1</v>
      </c>
      <c r="L453" s="491">
        <f t="shared" si="50"/>
        <v>-28326</v>
      </c>
      <c r="M453" s="866">
        <f t="shared" si="51"/>
        <v>-1</v>
      </c>
    </row>
    <row r="454" spans="1:13" s="6" customFormat="1" x14ac:dyDescent="0.2">
      <c r="A454" s="503"/>
      <c r="B454" s="503"/>
      <c r="C454" s="95" t="s">
        <v>118</v>
      </c>
      <c r="D454" s="182">
        <f>D448-D451-D453</f>
        <v>25377360</v>
      </c>
      <c r="E454" s="182"/>
      <c r="F454" s="491">
        <f>F448-F451-F453-F452</f>
        <v>1723925</v>
      </c>
      <c r="G454" s="491">
        <f>G448-G451-G453-G452</f>
        <v>-405560</v>
      </c>
      <c r="H454" s="491">
        <f t="shared" si="48"/>
        <v>26695725</v>
      </c>
      <c r="I454" s="491">
        <v>25528250</v>
      </c>
      <c r="J454" s="491">
        <f t="shared" si="49"/>
        <v>150890</v>
      </c>
      <c r="K454" s="866">
        <f t="shared" si="52"/>
        <v>5.94585094745868E-3</v>
      </c>
      <c r="L454" s="491">
        <f t="shared" si="50"/>
        <v>-1167475</v>
      </c>
      <c r="M454" s="866">
        <f t="shared" si="51"/>
        <v>-4.3732657569704514E-2</v>
      </c>
    </row>
    <row r="455" spans="1:13" s="56" customFormat="1" x14ac:dyDescent="0.2">
      <c r="A455" s="459"/>
      <c r="B455" s="459"/>
      <c r="C455" s="473" t="s">
        <v>909</v>
      </c>
      <c r="D455" s="474">
        <f>D459+D463+D466+D469+D472+D475+D480+D484+D508+D517+D520</f>
        <v>9965923</v>
      </c>
      <c r="E455" s="474"/>
      <c r="F455" s="474">
        <f>F459+F463+F466+F469+F472+F475+F480+F484+F508+F517+F520</f>
        <v>115962</v>
      </c>
      <c r="G455" s="474">
        <f>G459+G463+G466+G469+G472+G475+G480+G484+G508+G517+G520+G611</f>
        <v>-255919</v>
      </c>
      <c r="H455" s="474">
        <f t="shared" si="48"/>
        <v>9825966</v>
      </c>
      <c r="I455" s="474">
        <v>10813209</v>
      </c>
      <c r="J455" s="474">
        <f t="shared" si="49"/>
        <v>847286</v>
      </c>
      <c r="K455" s="867">
        <f t="shared" si="52"/>
        <v>8.5018316918563389E-2</v>
      </c>
      <c r="L455" s="474">
        <f t="shared" si="50"/>
        <v>987243</v>
      </c>
      <c r="M455" s="867">
        <f t="shared" si="51"/>
        <v>0.10047286953771263</v>
      </c>
    </row>
    <row r="456" spans="1:13" x14ac:dyDescent="0.2">
      <c r="C456" s="95"/>
      <c r="D456" s="182"/>
      <c r="E456" s="182"/>
      <c r="F456" s="491">
        <v>0</v>
      </c>
      <c r="G456" s="491">
        <v>0</v>
      </c>
      <c r="H456" s="491">
        <f t="shared" si="48"/>
        <v>0</v>
      </c>
      <c r="I456" s="491">
        <v>0</v>
      </c>
      <c r="J456" s="491">
        <f t="shared" si="49"/>
        <v>0</v>
      </c>
      <c r="K456" s="866"/>
      <c r="L456" s="491">
        <f t="shared" si="50"/>
        <v>0</v>
      </c>
      <c r="M456" s="866"/>
    </row>
    <row r="457" spans="1:13" ht="15" x14ac:dyDescent="0.2">
      <c r="A457" s="459" t="s">
        <v>863</v>
      </c>
      <c r="B457" s="504" t="s">
        <v>783</v>
      </c>
      <c r="C457" s="291" t="s">
        <v>316</v>
      </c>
      <c r="D457" s="226">
        <f>D458</f>
        <v>573952</v>
      </c>
      <c r="E457" s="226">
        <f>E458</f>
        <v>0</v>
      </c>
      <c r="F457" s="226">
        <f>F458</f>
        <v>-20000</v>
      </c>
      <c r="G457" s="226">
        <f>G458</f>
        <v>0</v>
      </c>
      <c r="H457" s="226">
        <f t="shared" si="48"/>
        <v>553952</v>
      </c>
      <c r="I457" s="226">
        <v>553952</v>
      </c>
      <c r="J457" s="226">
        <f t="shared" si="49"/>
        <v>-20000</v>
      </c>
      <c r="K457" s="908">
        <f t="shared" si="52"/>
        <v>-3.4846119536128456E-2</v>
      </c>
      <c r="L457" s="226">
        <f t="shared" si="50"/>
        <v>0</v>
      </c>
      <c r="M457" s="908">
        <f t="shared" si="51"/>
        <v>0</v>
      </c>
    </row>
    <row r="458" spans="1:13" x14ac:dyDescent="0.2">
      <c r="C458" s="356" t="s">
        <v>687</v>
      </c>
      <c r="D458" s="209">
        <v>573952</v>
      </c>
      <c r="E458" s="209"/>
      <c r="F458" s="209">
        <v>-20000</v>
      </c>
      <c r="G458" s="209"/>
      <c r="H458" s="209">
        <f t="shared" ref="H458:H501" si="53">D458+E458+F458+G458</f>
        <v>553952</v>
      </c>
      <c r="I458" s="209">
        <v>553952</v>
      </c>
      <c r="J458" s="209">
        <f t="shared" si="49"/>
        <v>-20000</v>
      </c>
      <c r="K458" s="909">
        <f t="shared" si="52"/>
        <v>-3.4846119536128456E-2</v>
      </c>
      <c r="L458" s="209">
        <f t="shared" si="50"/>
        <v>0</v>
      </c>
      <c r="M458" s="909">
        <f t="shared" si="51"/>
        <v>0</v>
      </c>
    </row>
    <row r="459" spans="1:13" s="56" customFormat="1" x14ac:dyDescent="0.2">
      <c r="A459" s="503"/>
      <c r="B459" s="503"/>
      <c r="C459" s="98" t="s">
        <v>119</v>
      </c>
      <c r="D459" s="489">
        <v>293416</v>
      </c>
      <c r="E459" s="145"/>
      <c r="F459" s="489">
        <v>-10000</v>
      </c>
      <c r="G459" s="489"/>
      <c r="H459" s="489">
        <f t="shared" si="53"/>
        <v>283416</v>
      </c>
      <c r="I459" s="489">
        <v>283416</v>
      </c>
      <c r="J459" s="489">
        <f t="shared" si="49"/>
        <v>-10000</v>
      </c>
      <c r="K459" s="869">
        <f t="shared" si="52"/>
        <v>-3.4081304359680452E-2</v>
      </c>
      <c r="L459" s="489">
        <f t="shared" si="50"/>
        <v>0</v>
      </c>
      <c r="M459" s="869">
        <f t="shared" si="51"/>
        <v>0</v>
      </c>
    </row>
    <row r="460" spans="1:13" x14ac:dyDescent="0.2">
      <c r="C460" s="292"/>
      <c r="D460" s="118"/>
      <c r="E460" s="118"/>
      <c r="F460" s="477">
        <v>0</v>
      </c>
      <c r="G460" s="477"/>
      <c r="H460" s="477">
        <f t="shared" si="53"/>
        <v>0</v>
      </c>
      <c r="I460" s="477">
        <v>0</v>
      </c>
      <c r="J460" s="477">
        <f t="shared" si="49"/>
        <v>0</v>
      </c>
      <c r="K460" s="909"/>
      <c r="L460" s="477">
        <f t="shared" si="50"/>
        <v>0</v>
      </c>
      <c r="M460" s="909"/>
    </row>
    <row r="461" spans="1:13" ht="15" x14ac:dyDescent="0.2">
      <c r="A461" s="459" t="s">
        <v>864</v>
      </c>
      <c r="B461" s="504" t="s">
        <v>783</v>
      </c>
      <c r="C461" s="355" t="s">
        <v>198</v>
      </c>
      <c r="D461" s="226">
        <f>D462+D465+D468+D471+D474+D479</f>
        <v>11031886</v>
      </c>
      <c r="E461" s="226"/>
      <c r="F461" s="226">
        <f>F462+F465+F468+F471+F474+F479</f>
        <v>95722</v>
      </c>
      <c r="G461" s="226">
        <f>G462+G465+G468+G471+G474+G479</f>
        <v>-214762</v>
      </c>
      <c r="H461" s="226">
        <f t="shared" si="53"/>
        <v>10912846</v>
      </c>
      <c r="I461" s="226">
        <v>12215473</v>
      </c>
      <c r="J461" s="226">
        <f t="shared" si="49"/>
        <v>1183587</v>
      </c>
      <c r="K461" s="908">
        <f t="shared" si="52"/>
        <v>0.10728782005180257</v>
      </c>
      <c r="L461" s="226">
        <f t="shared" si="50"/>
        <v>1302627</v>
      </c>
      <c r="M461" s="908">
        <f t="shared" si="51"/>
        <v>0.11936638710012035</v>
      </c>
    </row>
    <row r="462" spans="1:13" x14ac:dyDescent="0.2">
      <c r="C462" s="356" t="s">
        <v>681</v>
      </c>
      <c r="D462" s="209">
        <v>3741842</v>
      </c>
      <c r="E462" s="209"/>
      <c r="F462" s="209">
        <v>60200</v>
      </c>
      <c r="G462" s="209"/>
      <c r="H462" s="209">
        <f t="shared" si="53"/>
        <v>3802042</v>
      </c>
      <c r="I462" s="209">
        <v>3768097</v>
      </c>
      <c r="J462" s="209">
        <f t="shared" si="49"/>
        <v>26255</v>
      </c>
      <c r="K462" s="909">
        <f t="shared" si="52"/>
        <v>7.016597707759975E-3</v>
      </c>
      <c r="L462" s="209">
        <f t="shared" si="50"/>
        <v>-33945</v>
      </c>
      <c r="M462" s="909">
        <f t="shared" si="51"/>
        <v>-8.928097059422279E-3</v>
      </c>
    </row>
    <row r="463" spans="1:13" s="56" customFormat="1" x14ac:dyDescent="0.2">
      <c r="A463" s="503"/>
      <c r="B463" s="503"/>
      <c r="C463" s="98" t="s">
        <v>119</v>
      </c>
      <c r="D463" s="489">
        <v>2192502</v>
      </c>
      <c r="E463" s="145"/>
      <c r="F463" s="489">
        <v>0</v>
      </c>
      <c r="G463" s="489"/>
      <c r="H463" s="489">
        <f t="shared" si="53"/>
        <v>2192502</v>
      </c>
      <c r="I463" s="489">
        <v>2192502</v>
      </c>
      <c r="J463" s="489">
        <f t="shared" si="49"/>
        <v>0</v>
      </c>
      <c r="K463" s="869">
        <f t="shared" si="52"/>
        <v>0</v>
      </c>
      <c r="L463" s="489">
        <f t="shared" si="50"/>
        <v>0</v>
      </c>
      <c r="M463" s="869">
        <f t="shared" si="51"/>
        <v>0</v>
      </c>
    </row>
    <row r="464" spans="1:13" x14ac:dyDescent="0.2">
      <c r="C464" s="357"/>
      <c r="D464" s="195"/>
      <c r="E464" s="195"/>
      <c r="F464" s="195">
        <v>0</v>
      </c>
      <c r="G464" s="195"/>
      <c r="H464" s="195">
        <f t="shared" si="53"/>
        <v>0</v>
      </c>
      <c r="I464" s="195">
        <v>0</v>
      </c>
      <c r="J464" s="195">
        <f t="shared" si="49"/>
        <v>0</v>
      </c>
      <c r="K464" s="922"/>
      <c r="L464" s="195">
        <f t="shared" si="50"/>
        <v>0</v>
      </c>
      <c r="M464" s="922"/>
    </row>
    <row r="465" spans="1:13" ht="24" x14ac:dyDescent="0.2">
      <c r="C465" s="358" t="s">
        <v>682</v>
      </c>
      <c r="D465" s="225">
        <v>813374</v>
      </c>
      <c r="E465" s="225"/>
      <c r="F465" s="225">
        <v>-16000</v>
      </c>
      <c r="G465" s="225">
        <v>-25000</v>
      </c>
      <c r="H465" s="225">
        <f t="shared" si="53"/>
        <v>772374</v>
      </c>
      <c r="I465" s="225">
        <v>813374</v>
      </c>
      <c r="J465" s="225">
        <f t="shared" si="49"/>
        <v>0</v>
      </c>
      <c r="K465" s="923">
        <f t="shared" si="52"/>
        <v>0</v>
      </c>
      <c r="L465" s="225">
        <f t="shared" si="50"/>
        <v>41000</v>
      </c>
      <c r="M465" s="923">
        <f t="shared" si="51"/>
        <v>5.3083091870000799E-2</v>
      </c>
    </row>
    <row r="466" spans="1:13" s="56" customFormat="1" x14ac:dyDescent="0.2">
      <c r="A466" s="503"/>
      <c r="B466" s="503"/>
      <c r="C466" s="98" t="s">
        <v>119</v>
      </c>
      <c r="D466" s="489">
        <v>436920</v>
      </c>
      <c r="E466" s="145"/>
      <c r="F466" s="489">
        <v>0</v>
      </c>
      <c r="G466" s="782">
        <v>-10000</v>
      </c>
      <c r="H466" s="489">
        <f t="shared" si="53"/>
        <v>426920</v>
      </c>
      <c r="I466" s="489">
        <v>436920</v>
      </c>
      <c r="J466" s="489">
        <f t="shared" si="49"/>
        <v>0</v>
      </c>
      <c r="K466" s="869">
        <f t="shared" si="52"/>
        <v>0</v>
      </c>
      <c r="L466" s="489">
        <f t="shared" si="50"/>
        <v>10000</v>
      </c>
      <c r="M466" s="869">
        <f t="shared" si="51"/>
        <v>2.3423592242106248E-2</v>
      </c>
    </row>
    <row r="467" spans="1:13" x14ac:dyDescent="0.2">
      <c r="C467" s="357"/>
      <c r="D467" s="195"/>
      <c r="E467" s="195"/>
      <c r="F467" s="195">
        <v>0</v>
      </c>
      <c r="G467" s="195"/>
      <c r="H467" s="195">
        <f t="shared" si="53"/>
        <v>0</v>
      </c>
      <c r="I467" s="195">
        <v>0</v>
      </c>
      <c r="J467" s="195">
        <f t="shared" si="49"/>
        <v>0</v>
      </c>
      <c r="K467" s="922"/>
      <c r="L467" s="195">
        <f t="shared" si="50"/>
        <v>0</v>
      </c>
      <c r="M467" s="922"/>
    </row>
    <row r="468" spans="1:13" x14ac:dyDescent="0.2">
      <c r="C468" s="356" t="s">
        <v>683</v>
      </c>
      <c r="D468" s="209">
        <v>2350079</v>
      </c>
      <c r="E468" s="209"/>
      <c r="F468" s="209">
        <v>-10400</v>
      </c>
      <c r="G468" s="209">
        <v>-185793</v>
      </c>
      <c r="H468" s="209">
        <f t="shared" si="53"/>
        <v>2153886</v>
      </c>
      <c r="I468" s="209">
        <v>2390124</v>
      </c>
      <c r="J468" s="209">
        <f t="shared" si="49"/>
        <v>40045</v>
      </c>
      <c r="K468" s="909">
        <f t="shared" si="52"/>
        <v>1.7039852702824033E-2</v>
      </c>
      <c r="L468" s="209">
        <f t="shared" si="50"/>
        <v>236238</v>
      </c>
      <c r="M468" s="909">
        <f t="shared" si="51"/>
        <v>0.10967989949328795</v>
      </c>
    </row>
    <row r="469" spans="1:13" s="56" customFormat="1" x14ac:dyDescent="0.2">
      <c r="A469" s="503"/>
      <c r="B469" s="503"/>
      <c r="C469" s="98" t="s">
        <v>119</v>
      </c>
      <c r="D469" s="489">
        <v>1288290</v>
      </c>
      <c r="E469" s="145"/>
      <c r="F469" s="489">
        <v>7175</v>
      </c>
      <c r="G469" s="782">
        <v>-137363</v>
      </c>
      <c r="H469" s="489">
        <f t="shared" si="53"/>
        <v>1158102</v>
      </c>
      <c r="I469" s="489">
        <v>1323017</v>
      </c>
      <c r="J469" s="489">
        <f t="shared" si="49"/>
        <v>34727</v>
      </c>
      <c r="K469" s="869">
        <f t="shared" si="52"/>
        <v>2.6955887261408535E-2</v>
      </c>
      <c r="L469" s="489">
        <f t="shared" si="50"/>
        <v>164915</v>
      </c>
      <c r="M469" s="869">
        <f t="shared" si="51"/>
        <v>0.14240110111199186</v>
      </c>
    </row>
    <row r="470" spans="1:13" x14ac:dyDescent="0.2">
      <c r="C470" s="357"/>
      <c r="D470" s="195"/>
      <c r="E470" s="195"/>
      <c r="F470" s="195">
        <v>0</v>
      </c>
      <c r="G470" s="195"/>
      <c r="H470" s="195">
        <f t="shared" si="53"/>
        <v>0</v>
      </c>
      <c r="I470" s="195">
        <v>0</v>
      </c>
      <c r="J470" s="195">
        <f t="shared" si="49"/>
        <v>0</v>
      </c>
      <c r="K470" s="922"/>
      <c r="L470" s="195">
        <f t="shared" si="50"/>
        <v>0</v>
      </c>
      <c r="M470" s="922"/>
    </row>
    <row r="471" spans="1:13" x14ac:dyDescent="0.2">
      <c r="C471" s="356" t="s">
        <v>684</v>
      </c>
      <c r="D471" s="209">
        <f>228093+3000</f>
        <v>231093</v>
      </c>
      <c r="E471" s="209"/>
      <c r="F471" s="209">
        <v>0</v>
      </c>
      <c r="G471" s="658">
        <f>-1000+3031</f>
        <v>2031</v>
      </c>
      <c r="H471" s="209">
        <f t="shared" si="53"/>
        <v>233124</v>
      </c>
      <c r="I471" s="209">
        <v>231093</v>
      </c>
      <c r="J471" s="209">
        <f t="shared" si="49"/>
        <v>0</v>
      </c>
      <c r="K471" s="909">
        <f t="shared" si="52"/>
        <v>0</v>
      </c>
      <c r="L471" s="209">
        <f t="shared" si="50"/>
        <v>-2031</v>
      </c>
      <c r="M471" s="909">
        <f t="shared" si="51"/>
        <v>-8.71210171410923E-3</v>
      </c>
    </row>
    <row r="472" spans="1:13" x14ac:dyDescent="0.2">
      <c r="C472" s="98" t="s">
        <v>119</v>
      </c>
      <c r="D472" s="489">
        <v>115323</v>
      </c>
      <c r="E472" s="145"/>
      <c r="F472" s="489">
        <v>0</v>
      </c>
      <c r="G472" s="489"/>
      <c r="H472" s="489">
        <f t="shared" si="53"/>
        <v>115323</v>
      </c>
      <c r="I472" s="489">
        <v>115323</v>
      </c>
      <c r="J472" s="489">
        <f t="shared" si="49"/>
        <v>0</v>
      </c>
      <c r="K472" s="869">
        <f t="shared" si="52"/>
        <v>0</v>
      </c>
      <c r="L472" s="489">
        <f t="shared" si="50"/>
        <v>0</v>
      </c>
      <c r="M472" s="869">
        <f t="shared" si="51"/>
        <v>0</v>
      </c>
    </row>
    <row r="473" spans="1:13" x14ac:dyDescent="0.2">
      <c r="C473" s="357"/>
      <c r="D473" s="195"/>
      <c r="E473" s="195"/>
      <c r="F473" s="195">
        <v>0</v>
      </c>
      <c r="G473" s="195"/>
      <c r="H473" s="195">
        <f t="shared" si="53"/>
        <v>0</v>
      </c>
      <c r="I473" s="195">
        <v>0</v>
      </c>
      <c r="J473" s="195">
        <f t="shared" si="49"/>
        <v>0</v>
      </c>
      <c r="K473" s="922"/>
      <c r="L473" s="195">
        <f t="shared" si="50"/>
        <v>0</v>
      </c>
      <c r="M473" s="922"/>
    </row>
    <row r="474" spans="1:13" x14ac:dyDescent="0.2">
      <c r="C474" s="356" t="s">
        <v>685</v>
      </c>
      <c r="D474" s="209">
        <f>2687401+110000</f>
        <v>2797401</v>
      </c>
      <c r="E474" s="209"/>
      <c r="F474" s="209">
        <v>61922</v>
      </c>
      <c r="G474" s="658">
        <v>16000</v>
      </c>
      <c r="H474" s="209">
        <f t="shared" si="53"/>
        <v>2875323</v>
      </c>
      <c r="I474" s="209">
        <v>3860023</v>
      </c>
      <c r="J474" s="209">
        <f t="shared" si="49"/>
        <v>1062622</v>
      </c>
      <c r="K474" s="909">
        <f t="shared" si="52"/>
        <v>0.3798604490382323</v>
      </c>
      <c r="L474" s="209">
        <f t="shared" si="50"/>
        <v>984700</v>
      </c>
      <c r="M474" s="909">
        <f t="shared" si="51"/>
        <v>0.34246587252979926</v>
      </c>
    </row>
    <row r="475" spans="1:13" s="486" customFormat="1" x14ac:dyDescent="0.2">
      <c r="A475" s="503"/>
      <c r="B475" s="503"/>
      <c r="C475" s="98" t="s">
        <v>119</v>
      </c>
      <c r="D475" s="489">
        <v>1238798</v>
      </c>
      <c r="E475" s="145"/>
      <c r="F475" s="489">
        <v>48500</v>
      </c>
      <c r="G475" s="489"/>
      <c r="H475" s="489">
        <f t="shared" si="53"/>
        <v>1287298</v>
      </c>
      <c r="I475" s="489">
        <v>1987403</v>
      </c>
      <c r="J475" s="489">
        <f t="shared" si="49"/>
        <v>748605</v>
      </c>
      <c r="K475" s="869">
        <f t="shared" si="52"/>
        <v>0.6042994903123835</v>
      </c>
      <c r="L475" s="489">
        <f t="shared" si="50"/>
        <v>700105</v>
      </c>
      <c r="M475" s="869">
        <f t="shared" si="51"/>
        <v>0.54385620112825472</v>
      </c>
    </row>
    <row r="476" spans="1:13" s="486" customFormat="1" x14ac:dyDescent="0.2">
      <c r="A476" s="503"/>
      <c r="B476" s="503"/>
      <c r="C476" s="98"/>
      <c r="D476" s="489"/>
      <c r="E476" s="489"/>
      <c r="F476" s="489"/>
      <c r="G476" s="489"/>
      <c r="H476" s="489">
        <f t="shared" si="53"/>
        <v>0</v>
      </c>
      <c r="I476" s="489">
        <v>0</v>
      </c>
      <c r="J476" s="489">
        <f t="shared" si="49"/>
        <v>0</v>
      </c>
      <c r="K476" s="869"/>
      <c r="L476" s="489">
        <f t="shared" si="50"/>
        <v>0</v>
      </c>
      <c r="M476" s="869"/>
    </row>
    <row r="477" spans="1:13" s="56" customFormat="1" ht="24" x14ac:dyDescent="0.2">
      <c r="A477" s="503"/>
      <c r="B477" s="503"/>
      <c r="C477" s="696" t="s">
        <v>677</v>
      </c>
      <c r="D477" s="489"/>
      <c r="E477" s="489"/>
      <c r="F477" s="489"/>
      <c r="G477" s="489"/>
      <c r="H477" s="489">
        <f t="shared" si="53"/>
        <v>0</v>
      </c>
      <c r="I477" s="489">
        <v>953466</v>
      </c>
      <c r="J477" s="489">
        <f t="shared" si="49"/>
        <v>953466</v>
      </c>
      <c r="K477" s="869"/>
      <c r="L477" s="489">
        <f t="shared" si="50"/>
        <v>953466</v>
      </c>
      <c r="M477" s="869"/>
    </row>
    <row r="478" spans="1:13" x14ac:dyDescent="0.2">
      <c r="C478" s="311"/>
      <c r="D478" s="201"/>
      <c r="E478" s="201"/>
      <c r="F478" s="490">
        <v>0</v>
      </c>
      <c r="G478" s="490"/>
      <c r="H478" s="490">
        <f t="shared" si="53"/>
        <v>0</v>
      </c>
      <c r="I478" s="490">
        <v>0</v>
      </c>
      <c r="J478" s="490">
        <f t="shared" si="49"/>
        <v>0</v>
      </c>
      <c r="K478" s="914"/>
      <c r="L478" s="490">
        <f t="shared" si="50"/>
        <v>0</v>
      </c>
      <c r="M478" s="914"/>
    </row>
    <row r="479" spans="1:13" x14ac:dyDescent="0.2">
      <c r="C479" s="356" t="s">
        <v>686</v>
      </c>
      <c r="D479" s="209">
        <v>1098097</v>
      </c>
      <c r="E479" s="209"/>
      <c r="F479" s="209">
        <v>0</v>
      </c>
      <c r="G479" s="209">
        <v>-22000</v>
      </c>
      <c r="H479" s="209">
        <f t="shared" si="53"/>
        <v>1076097</v>
      </c>
      <c r="I479" s="209">
        <v>1152762</v>
      </c>
      <c r="J479" s="209">
        <f t="shared" si="49"/>
        <v>54665</v>
      </c>
      <c r="K479" s="909">
        <f t="shared" si="52"/>
        <v>4.9781576673099008E-2</v>
      </c>
      <c r="L479" s="209">
        <f t="shared" si="50"/>
        <v>76665</v>
      </c>
      <c r="M479" s="909">
        <f t="shared" si="51"/>
        <v>7.1243577484185902E-2</v>
      </c>
    </row>
    <row r="480" spans="1:13" s="56" customFormat="1" x14ac:dyDescent="0.2">
      <c r="A480" s="503"/>
      <c r="B480" s="503"/>
      <c r="C480" s="98" t="s">
        <v>119</v>
      </c>
      <c r="D480" s="489">
        <v>640731</v>
      </c>
      <c r="E480" s="145"/>
      <c r="F480" s="489">
        <v>0</v>
      </c>
      <c r="G480" s="782">
        <v>-18000</v>
      </c>
      <c r="H480" s="489">
        <f t="shared" si="53"/>
        <v>622731</v>
      </c>
      <c r="I480" s="489">
        <v>658418</v>
      </c>
      <c r="J480" s="489">
        <f t="shared" si="49"/>
        <v>17687</v>
      </c>
      <c r="K480" s="869">
        <f t="shared" si="52"/>
        <v>2.760440809013455E-2</v>
      </c>
      <c r="L480" s="489">
        <f t="shared" si="50"/>
        <v>35687</v>
      </c>
      <c r="M480" s="869">
        <f t="shared" si="51"/>
        <v>5.7307248233988674E-2</v>
      </c>
    </row>
    <row r="481" spans="1:13" s="56" customFormat="1" x14ac:dyDescent="0.2">
      <c r="A481" s="503"/>
      <c r="B481" s="503"/>
      <c r="C481" s="359"/>
      <c r="D481" s="177"/>
      <c r="E481" s="177"/>
      <c r="F481" s="501">
        <v>0</v>
      </c>
      <c r="G481" s="501"/>
      <c r="H481" s="501">
        <f t="shared" si="53"/>
        <v>0</v>
      </c>
      <c r="I481" s="501">
        <v>0</v>
      </c>
      <c r="J481" s="501">
        <f t="shared" si="49"/>
        <v>0</v>
      </c>
      <c r="K481" s="528"/>
      <c r="L481" s="501">
        <f t="shared" si="50"/>
        <v>0</v>
      </c>
      <c r="M481" s="528"/>
    </row>
    <row r="482" spans="1:13" s="56" customFormat="1" ht="15" x14ac:dyDescent="0.2">
      <c r="A482" s="459" t="s">
        <v>850</v>
      </c>
      <c r="B482" s="504" t="s">
        <v>783</v>
      </c>
      <c r="C482" s="291" t="s">
        <v>766</v>
      </c>
      <c r="D482" s="192">
        <f>D483+D502+D507</f>
        <v>15387349</v>
      </c>
      <c r="E482" s="192"/>
      <c r="F482" s="478">
        <f>F483+F502+F507</f>
        <v>412084</v>
      </c>
      <c r="G482" s="478">
        <f>G483+G502+G507</f>
        <v>49443</v>
      </c>
      <c r="H482" s="478">
        <f t="shared" si="53"/>
        <v>15848876</v>
      </c>
      <c r="I482" s="478">
        <v>16150525</v>
      </c>
      <c r="J482" s="478">
        <f t="shared" si="49"/>
        <v>763176</v>
      </c>
      <c r="K482" s="908">
        <f t="shared" si="52"/>
        <v>4.9597627245602863E-2</v>
      </c>
      <c r="L482" s="478">
        <f t="shared" si="50"/>
        <v>301649</v>
      </c>
      <c r="M482" s="908">
        <f t="shared" si="51"/>
        <v>1.9032832359846843E-2</v>
      </c>
    </row>
    <row r="483" spans="1:13" s="56" customFormat="1" x14ac:dyDescent="0.2">
      <c r="A483" s="503"/>
      <c r="B483" s="503"/>
      <c r="C483" s="292" t="s">
        <v>199</v>
      </c>
      <c r="D483" s="118">
        <f>D487+D491+D495+D499</f>
        <v>8349279</v>
      </c>
      <c r="E483" s="118"/>
      <c r="F483" s="477">
        <f>F487+F491+F495+F499</f>
        <v>-8720</v>
      </c>
      <c r="G483" s="477">
        <f>G487+G491+G495+G499</f>
        <v>253143</v>
      </c>
      <c r="H483" s="477">
        <f t="shared" si="53"/>
        <v>8593702</v>
      </c>
      <c r="I483" s="477">
        <v>8572370</v>
      </c>
      <c r="J483" s="477">
        <f t="shared" si="49"/>
        <v>223091</v>
      </c>
      <c r="K483" s="909">
        <f t="shared" si="52"/>
        <v>2.6719792211998186E-2</v>
      </c>
      <c r="L483" s="477">
        <f t="shared" si="50"/>
        <v>-21332</v>
      </c>
      <c r="M483" s="909">
        <f t="shared" si="51"/>
        <v>-2.4822829555877085E-3</v>
      </c>
    </row>
    <row r="484" spans="1:13" s="56" customFormat="1" x14ac:dyDescent="0.2">
      <c r="A484" s="503"/>
      <c r="B484" s="503"/>
      <c r="C484" s="98" t="s">
        <v>119</v>
      </c>
      <c r="D484" s="489">
        <f>D488+D492+D496+D500</f>
        <v>2952174</v>
      </c>
      <c r="E484" s="145"/>
      <c r="F484" s="489">
        <f>F488+F492+F496+F500</f>
        <v>74456</v>
      </c>
      <c r="G484" s="782">
        <f>G488+G492+G496+G500</f>
        <v>-1176</v>
      </c>
      <c r="H484" s="489">
        <f t="shared" si="53"/>
        <v>3025454</v>
      </c>
      <c r="I484" s="489">
        <v>3055399</v>
      </c>
      <c r="J484" s="489">
        <f t="shared" si="49"/>
        <v>103225</v>
      </c>
      <c r="K484" s="869">
        <f t="shared" si="52"/>
        <v>3.4965757438416567E-2</v>
      </c>
      <c r="L484" s="489">
        <f t="shared" si="50"/>
        <v>29945</v>
      </c>
      <c r="M484" s="869">
        <f t="shared" si="51"/>
        <v>9.8976880825158795E-3</v>
      </c>
    </row>
    <row r="485" spans="1:13" s="56" customFormat="1" x14ac:dyDescent="0.2">
      <c r="A485" s="503"/>
      <c r="B485" s="503"/>
      <c r="C485" s="98"/>
      <c r="D485" s="145"/>
      <c r="E485" s="145"/>
      <c r="F485" s="489">
        <v>0</v>
      </c>
      <c r="G485" s="489"/>
      <c r="H485" s="489">
        <f t="shared" si="53"/>
        <v>0</v>
      </c>
      <c r="I485" s="489">
        <v>0</v>
      </c>
      <c r="J485" s="489">
        <f t="shared" si="49"/>
        <v>0</v>
      </c>
      <c r="K485" s="869"/>
      <c r="L485" s="489">
        <f t="shared" si="50"/>
        <v>0</v>
      </c>
      <c r="M485" s="869"/>
    </row>
    <row r="486" spans="1:13" s="56" customFormat="1" x14ac:dyDescent="0.2">
      <c r="A486" s="503"/>
      <c r="B486" s="503"/>
      <c r="C486" s="105" t="s">
        <v>196</v>
      </c>
      <c r="D486" s="118"/>
      <c r="E486" s="118"/>
      <c r="F486" s="477">
        <v>0</v>
      </c>
      <c r="G486" s="477"/>
      <c r="H486" s="477">
        <f t="shared" si="53"/>
        <v>0</v>
      </c>
      <c r="I486" s="477">
        <v>0</v>
      </c>
      <c r="J486" s="477">
        <f t="shared" si="49"/>
        <v>0</v>
      </c>
      <c r="K486" s="909"/>
      <c r="L486" s="477">
        <f t="shared" si="50"/>
        <v>0</v>
      </c>
      <c r="M486" s="909"/>
    </row>
    <row r="487" spans="1:13" s="56" customFormat="1" x14ac:dyDescent="0.2">
      <c r="A487" s="503"/>
      <c r="B487" s="503"/>
      <c r="C487" s="106" t="s">
        <v>691</v>
      </c>
      <c r="D487" s="194">
        <v>956153</v>
      </c>
      <c r="E487" s="194"/>
      <c r="F487" s="194">
        <v>155000</v>
      </c>
      <c r="G487" s="194"/>
      <c r="H487" s="194">
        <f t="shared" si="53"/>
        <v>1111153</v>
      </c>
      <c r="I487" s="194">
        <v>992197</v>
      </c>
      <c r="J487" s="194">
        <f t="shared" si="49"/>
        <v>36044</v>
      </c>
      <c r="K487" s="887">
        <f t="shared" si="52"/>
        <v>3.7696895789690564E-2</v>
      </c>
      <c r="L487" s="194">
        <f t="shared" si="50"/>
        <v>-118956</v>
      </c>
      <c r="M487" s="887">
        <f t="shared" si="51"/>
        <v>-0.10705636397507814</v>
      </c>
    </row>
    <row r="488" spans="1:13" s="56" customFormat="1" x14ac:dyDescent="0.2">
      <c r="A488" s="503"/>
      <c r="B488" s="503"/>
      <c r="C488" s="103" t="s">
        <v>119</v>
      </c>
      <c r="D488" s="489">
        <v>415100</v>
      </c>
      <c r="E488" s="145"/>
      <c r="F488" s="489">
        <v>59600</v>
      </c>
      <c r="G488" s="489"/>
      <c r="H488" s="489">
        <f t="shared" si="53"/>
        <v>474700</v>
      </c>
      <c r="I488" s="489">
        <v>415100</v>
      </c>
      <c r="J488" s="489">
        <f t="shared" si="49"/>
        <v>0</v>
      </c>
      <c r="K488" s="869">
        <f t="shared" si="52"/>
        <v>0</v>
      </c>
      <c r="L488" s="489">
        <f t="shared" si="50"/>
        <v>-59600</v>
      </c>
      <c r="M488" s="869">
        <f t="shared" si="51"/>
        <v>-0.12555298082999788</v>
      </c>
    </row>
    <row r="489" spans="1:13" s="56" customFormat="1" x14ac:dyDescent="0.2">
      <c r="A489" s="503"/>
      <c r="B489" s="503"/>
      <c r="C489" s="98"/>
      <c r="D489" s="145"/>
      <c r="E489" s="145"/>
      <c r="F489" s="489">
        <v>0</v>
      </c>
      <c r="G489" s="489"/>
      <c r="H489" s="489">
        <f t="shared" si="53"/>
        <v>0</v>
      </c>
      <c r="I489" s="489">
        <v>0</v>
      </c>
      <c r="J489" s="489">
        <f t="shared" si="49"/>
        <v>0</v>
      </c>
      <c r="K489" s="869"/>
      <c r="L489" s="489">
        <f t="shared" si="50"/>
        <v>0</v>
      </c>
      <c r="M489" s="869"/>
    </row>
    <row r="490" spans="1:13" s="56" customFormat="1" x14ac:dyDescent="0.2">
      <c r="A490" s="503"/>
      <c r="B490" s="503"/>
      <c r="C490" s="105" t="s">
        <v>196</v>
      </c>
      <c r="D490" s="118"/>
      <c r="E490" s="118"/>
      <c r="F490" s="477">
        <v>0</v>
      </c>
      <c r="G490" s="477"/>
      <c r="H490" s="477">
        <f t="shared" si="53"/>
        <v>0</v>
      </c>
      <c r="I490" s="477">
        <v>0</v>
      </c>
      <c r="J490" s="477">
        <f t="shared" si="49"/>
        <v>0</v>
      </c>
      <c r="K490" s="909"/>
      <c r="L490" s="477">
        <f t="shared" si="50"/>
        <v>0</v>
      </c>
      <c r="M490" s="909"/>
    </row>
    <row r="491" spans="1:13" s="56" customFormat="1" ht="35.25" x14ac:dyDescent="0.2">
      <c r="A491" s="503"/>
      <c r="B491" s="503"/>
      <c r="C491" s="106" t="s">
        <v>692</v>
      </c>
      <c r="D491" s="194">
        <v>5062221</v>
      </c>
      <c r="E491" s="194"/>
      <c r="F491" s="194">
        <v>-15192</v>
      </c>
      <c r="G491" s="194">
        <v>234633</v>
      </c>
      <c r="H491" s="194">
        <v>5281662</v>
      </c>
      <c r="I491" s="194">
        <v>5322972</v>
      </c>
      <c r="J491" s="194">
        <f t="shared" si="49"/>
        <v>260751</v>
      </c>
      <c r="K491" s="887">
        <f t="shared" si="52"/>
        <v>5.1509209100116332E-2</v>
      </c>
      <c r="L491" s="194">
        <f t="shared" si="50"/>
        <v>41310</v>
      </c>
      <c r="M491" s="887">
        <f t="shared" si="51"/>
        <v>7.8214016724281101E-3</v>
      </c>
    </row>
    <row r="492" spans="1:13" s="486" customFormat="1" x14ac:dyDescent="0.2">
      <c r="A492" s="503"/>
      <c r="B492" s="503"/>
      <c r="C492" s="103" t="s">
        <v>119</v>
      </c>
      <c r="D492" s="489">
        <v>1667454</v>
      </c>
      <c r="E492" s="489"/>
      <c r="F492" s="489">
        <v>14856</v>
      </c>
      <c r="G492" s="782">
        <v>-2676</v>
      </c>
      <c r="H492" s="489">
        <v>1679634</v>
      </c>
      <c r="I492" s="489">
        <v>1757719</v>
      </c>
      <c r="J492" s="489">
        <f t="shared" si="49"/>
        <v>90265</v>
      </c>
      <c r="K492" s="869">
        <f t="shared" si="52"/>
        <v>5.4133427368910927E-2</v>
      </c>
      <c r="L492" s="489">
        <f t="shared" si="50"/>
        <v>78085</v>
      </c>
      <c r="M492" s="869">
        <f t="shared" si="51"/>
        <v>4.6489294691581619E-2</v>
      </c>
    </row>
    <row r="493" spans="1:13" s="56" customFormat="1" x14ac:dyDescent="0.2">
      <c r="A493" s="503"/>
      <c r="B493" s="503"/>
      <c r="C493" s="103"/>
      <c r="D493" s="489"/>
      <c r="E493" s="489"/>
      <c r="F493" s="489">
        <v>0</v>
      </c>
      <c r="G493" s="489"/>
      <c r="H493" s="489">
        <f t="shared" si="53"/>
        <v>0</v>
      </c>
      <c r="I493" s="489">
        <v>0</v>
      </c>
      <c r="J493" s="489">
        <f t="shared" si="49"/>
        <v>0</v>
      </c>
      <c r="K493" s="869"/>
      <c r="L493" s="489">
        <f t="shared" si="50"/>
        <v>0</v>
      </c>
      <c r="M493" s="869"/>
    </row>
    <row r="494" spans="1:13" s="56" customFormat="1" x14ac:dyDescent="0.2">
      <c r="A494" s="503"/>
      <c r="B494" s="503"/>
      <c r="C494" s="105" t="s">
        <v>196</v>
      </c>
      <c r="D494" s="118"/>
      <c r="E494" s="118"/>
      <c r="F494" s="477">
        <v>0</v>
      </c>
      <c r="G494" s="477"/>
      <c r="H494" s="477">
        <f t="shared" si="53"/>
        <v>0</v>
      </c>
      <c r="I494" s="477">
        <v>0</v>
      </c>
      <c r="J494" s="477">
        <f t="shared" si="49"/>
        <v>0</v>
      </c>
      <c r="K494" s="909"/>
      <c r="L494" s="477">
        <f t="shared" si="50"/>
        <v>0</v>
      </c>
      <c r="M494" s="909"/>
    </row>
    <row r="495" spans="1:13" s="56" customFormat="1" x14ac:dyDescent="0.2">
      <c r="A495" s="503"/>
      <c r="B495" s="503"/>
      <c r="C495" s="106" t="s">
        <v>693</v>
      </c>
      <c r="D495" s="194">
        <v>1804662</v>
      </c>
      <c r="E495" s="194"/>
      <c r="F495" s="194">
        <v>-150000</v>
      </c>
      <c r="G495" s="194"/>
      <c r="H495" s="194">
        <f t="shared" si="53"/>
        <v>1654662</v>
      </c>
      <c r="I495" s="194">
        <v>1730838</v>
      </c>
      <c r="J495" s="194">
        <f t="shared" si="49"/>
        <v>-73824</v>
      </c>
      <c r="K495" s="887">
        <f t="shared" si="52"/>
        <v>-4.0907383210817314E-2</v>
      </c>
      <c r="L495" s="194">
        <f t="shared" si="50"/>
        <v>76176</v>
      </c>
      <c r="M495" s="887">
        <f t="shared" si="51"/>
        <v>4.6037196720538694E-2</v>
      </c>
    </row>
    <row r="496" spans="1:13" s="486" customFormat="1" x14ac:dyDescent="0.2">
      <c r="A496" s="503"/>
      <c r="B496" s="503"/>
      <c r="C496" s="103" t="s">
        <v>119</v>
      </c>
      <c r="D496" s="489">
        <v>728416</v>
      </c>
      <c r="E496" s="489"/>
      <c r="F496" s="489">
        <v>0</v>
      </c>
      <c r="G496" s="489"/>
      <c r="H496" s="489">
        <f t="shared" si="53"/>
        <v>728416</v>
      </c>
      <c r="I496" s="489">
        <v>741376</v>
      </c>
      <c r="J496" s="489">
        <f t="shared" si="49"/>
        <v>12960</v>
      </c>
      <c r="K496" s="869">
        <f t="shared" si="52"/>
        <v>1.7792030927382154E-2</v>
      </c>
      <c r="L496" s="489">
        <f t="shared" si="50"/>
        <v>12960</v>
      </c>
      <c r="M496" s="869">
        <f t="shared" si="51"/>
        <v>1.7792030927382154E-2</v>
      </c>
    </row>
    <row r="497" spans="1:13" s="56" customFormat="1" x14ac:dyDescent="0.2">
      <c r="A497" s="503"/>
      <c r="B497" s="503"/>
      <c r="C497" s="108"/>
      <c r="D497" s="179"/>
      <c r="E497" s="151"/>
      <c r="F497" s="151">
        <v>0</v>
      </c>
      <c r="G497" s="151"/>
      <c r="H497" s="179">
        <f t="shared" si="53"/>
        <v>0</v>
      </c>
      <c r="I497" s="179">
        <v>0</v>
      </c>
      <c r="J497" s="179">
        <f t="shared" si="49"/>
        <v>0</v>
      </c>
      <c r="K497" s="542"/>
      <c r="L497" s="179">
        <f t="shared" si="50"/>
        <v>0</v>
      </c>
      <c r="M497" s="542"/>
    </row>
    <row r="498" spans="1:13" s="56" customFormat="1" x14ac:dyDescent="0.2">
      <c r="A498" s="503"/>
      <c r="B498" s="503"/>
      <c r="C498" s="105" t="s">
        <v>196</v>
      </c>
      <c r="D498" s="118"/>
      <c r="E498" s="118"/>
      <c r="F498" s="489">
        <v>0</v>
      </c>
      <c r="G498" s="489"/>
      <c r="H498" s="477">
        <f t="shared" si="53"/>
        <v>0</v>
      </c>
      <c r="I498" s="477">
        <v>0</v>
      </c>
      <c r="J498" s="477">
        <f t="shared" si="49"/>
        <v>0</v>
      </c>
      <c r="K498" s="909"/>
      <c r="L498" s="477">
        <f t="shared" si="50"/>
        <v>0</v>
      </c>
      <c r="M498" s="909"/>
    </row>
    <row r="499" spans="1:13" s="56" customFormat="1" ht="24" x14ac:dyDescent="0.2">
      <c r="A499" s="503"/>
      <c r="B499" s="503"/>
      <c r="C499" s="106" t="s">
        <v>852</v>
      </c>
      <c r="D499" s="194">
        <v>526243</v>
      </c>
      <c r="E499" s="194"/>
      <c r="F499" s="194">
        <v>1472</v>
      </c>
      <c r="G499" s="194">
        <v>18510</v>
      </c>
      <c r="H499" s="194">
        <v>546225</v>
      </c>
      <c r="I499" s="194">
        <v>526363</v>
      </c>
      <c r="J499" s="194">
        <f t="shared" si="49"/>
        <v>120</v>
      </c>
      <c r="K499" s="887">
        <f t="shared" si="52"/>
        <v>2.2803153676153413E-4</v>
      </c>
      <c r="L499" s="194">
        <f t="shared" si="50"/>
        <v>-19862</v>
      </c>
      <c r="M499" s="887">
        <f t="shared" si="51"/>
        <v>-3.6362304910979908E-2</v>
      </c>
    </row>
    <row r="500" spans="1:13" s="56" customFormat="1" x14ac:dyDescent="0.2">
      <c r="A500" s="503"/>
      <c r="B500" s="503"/>
      <c r="C500" s="103" t="s">
        <v>119</v>
      </c>
      <c r="D500" s="489">
        <v>141204</v>
      </c>
      <c r="E500" s="489"/>
      <c r="F500" s="489">
        <v>0</v>
      </c>
      <c r="G500" s="782">
        <v>1500</v>
      </c>
      <c r="H500" s="489">
        <v>142704</v>
      </c>
      <c r="I500" s="489">
        <v>141204</v>
      </c>
      <c r="J500" s="489">
        <f t="shared" ref="J500:J559" si="54">I500-D500</f>
        <v>0</v>
      </c>
      <c r="K500" s="869">
        <f t="shared" ref="K500:K559" si="55">J500/D500</f>
        <v>0</v>
      </c>
      <c r="L500" s="489">
        <f t="shared" ref="L500:L559" si="56">I500-H500</f>
        <v>-1500</v>
      </c>
      <c r="M500" s="869">
        <f t="shared" ref="M500:M559" si="57">L500/H500</f>
        <v>-1.0511268079381096E-2</v>
      </c>
    </row>
    <row r="501" spans="1:13" s="56" customFormat="1" x14ac:dyDescent="0.2">
      <c r="A501" s="503"/>
      <c r="B501" s="503"/>
      <c r="C501" s="108"/>
      <c r="D501" s="179"/>
      <c r="E501" s="179"/>
      <c r="F501" s="179">
        <v>0</v>
      </c>
      <c r="G501" s="179"/>
      <c r="H501" s="179">
        <f t="shared" si="53"/>
        <v>0</v>
      </c>
      <c r="I501" s="179">
        <v>0</v>
      </c>
      <c r="J501" s="179">
        <f t="shared" si="54"/>
        <v>0</v>
      </c>
      <c r="K501" s="542"/>
      <c r="L501" s="179">
        <f t="shared" si="56"/>
        <v>0</v>
      </c>
      <c r="M501" s="542"/>
    </row>
    <row r="502" spans="1:13" s="56" customFormat="1" x14ac:dyDescent="0.2">
      <c r="A502" s="503"/>
      <c r="B502" s="503"/>
      <c r="C502" s="292" t="s">
        <v>435</v>
      </c>
      <c r="D502" s="118">
        <f>D505</f>
        <v>5725000</v>
      </c>
      <c r="E502" s="118"/>
      <c r="F502" s="477">
        <f>F505</f>
        <v>420804</v>
      </c>
      <c r="G502" s="477"/>
      <c r="H502" s="477">
        <f t="shared" ref="H502:H565" si="58">D502+E502+F502+G502</f>
        <v>6145804</v>
      </c>
      <c r="I502" s="477">
        <v>6265000</v>
      </c>
      <c r="J502" s="477">
        <f t="shared" si="54"/>
        <v>540000</v>
      </c>
      <c r="K502" s="909">
        <f t="shared" si="55"/>
        <v>9.4323144104803497E-2</v>
      </c>
      <c r="L502" s="477">
        <f t="shared" si="56"/>
        <v>119196</v>
      </c>
      <c r="M502" s="909">
        <f t="shared" si="57"/>
        <v>1.9394695958413252E-2</v>
      </c>
    </row>
    <row r="503" spans="1:13" s="56" customFormat="1" x14ac:dyDescent="0.2">
      <c r="A503" s="503"/>
      <c r="B503" s="503"/>
      <c r="C503" s="292"/>
      <c r="D503" s="118"/>
      <c r="E503" s="118"/>
      <c r="F503" s="477">
        <v>0</v>
      </c>
      <c r="G503" s="477"/>
      <c r="H503" s="477">
        <f t="shared" si="58"/>
        <v>0</v>
      </c>
      <c r="I503" s="477">
        <v>0</v>
      </c>
      <c r="J503" s="477">
        <f t="shared" si="54"/>
        <v>0</v>
      </c>
      <c r="K503" s="909"/>
      <c r="L503" s="477">
        <f t="shared" si="56"/>
        <v>0</v>
      </c>
      <c r="M503" s="909"/>
    </row>
    <row r="504" spans="1:13" s="56" customFormat="1" x14ac:dyDescent="0.2">
      <c r="A504" s="503"/>
      <c r="B504" s="503"/>
      <c r="C504" s="105" t="s">
        <v>196</v>
      </c>
      <c r="D504" s="118"/>
      <c r="E504" s="118"/>
      <c r="F504" s="477">
        <v>0</v>
      </c>
      <c r="G504" s="477"/>
      <c r="H504" s="477">
        <f t="shared" si="58"/>
        <v>0</v>
      </c>
      <c r="I504" s="477">
        <v>0</v>
      </c>
      <c r="J504" s="477">
        <f t="shared" si="54"/>
        <v>0</v>
      </c>
      <c r="K504" s="909"/>
      <c r="L504" s="477">
        <f t="shared" si="56"/>
        <v>0</v>
      </c>
      <c r="M504" s="909"/>
    </row>
    <row r="505" spans="1:13" s="56" customFormat="1" x14ac:dyDescent="0.2">
      <c r="A505" s="503"/>
      <c r="B505" s="503"/>
      <c r="C505" s="106" t="s">
        <v>436</v>
      </c>
      <c r="D505" s="194">
        <v>5725000</v>
      </c>
      <c r="E505" s="194"/>
      <c r="F505" s="194">
        <v>420804</v>
      </c>
      <c r="G505" s="194"/>
      <c r="H505" s="194">
        <f t="shared" si="58"/>
        <v>6145804</v>
      </c>
      <c r="I505" s="194">
        <v>6265000</v>
      </c>
      <c r="J505" s="194">
        <f t="shared" si="54"/>
        <v>540000</v>
      </c>
      <c r="K505" s="887">
        <f t="shared" si="55"/>
        <v>9.4323144104803497E-2</v>
      </c>
      <c r="L505" s="194">
        <f t="shared" si="56"/>
        <v>119196</v>
      </c>
      <c r="M505" s="887">
        <f t="shared" si="57"/>
        <v>1.9394695958413252E-2</v>
      </c>
    </row>
    <row r="506" spans="1:13" s="56" customFormat="1" x14ac:dyDescent="0.2">
      <c r="A506" s="503"/>
      <c r="B506" s="503"/>
      <c r="C506" s="365"/>
      <c r="D506" s="230"/>
      <c r="E506" s="230"/>
      <c r="F506" s="230">
        <v>0</v>
      </c>
      <c r="G506" s="230"/>
      <c r="H506" s="230">
        <f t="shared" si="58"/>
        <v>0</v>
      </c>
      <c r="I506" s="230">
        <v>0</v>
      </c>
      <c r="J506" s="230">
        <f t="shared" si="54"/>
        <v>0</v>
      </c>
      <c r="K506" s="912"/>
      <c r="L506" s="230">
        <f t="shared" si="56"/>
        <v>0</v>
      </c>
      <c r="M506" s="912"/>
    </row>
    <row r="507" spans="1:13" s="56" customFormat="1" x14ac:dyDescent="0.2">
      <c r="A507" s="503"/>
      <c r="B507" s="503"/>
      <c r="C507" s="292" t="s">
        <v>437</v>
      </c>
      <c r="D507" s="118">
        <f>D511</f>
        <v>1313070</v>
      </c>
      <c r="E507" s="118"/>
      <c r="F507" s="477">
        <v>0</v>
      </c>
      <c r="G507" s="477">
        <f>G511</f>
        <v>-203700</v>
      </c>
      <c r="H507" s="477">
        <f t="shared" si="58"/>
        <v>1109370</v>
      </c>
      <c r="I507" s="477">
        <v>1313155</v>
      </c>
      <c r="J507" s="477">
        <f t="shared" si="54"/>
        <v>85</v>
      </c>
      <c r="K507" s="909">
        <f t="shared" si="55"/>
        <v>6.4733791800894089E-5</v>
      </c>
      <c r="L507" s="477">
        <f t="shared" si="56"/>
        <v>203785</v>
      </c>
      <c r="M507" s="909">
        <f t="shared" si="57"/>
        <v>0.18369434904495344</v>
      </c>
    </row>
    <row r="508" spans="1:13" s="56" customFormat="1" x14ac:dyDescent="0.2">
      <c r="A508" s="503"/>
      <c r="B508" s="503"/>
      <c r="C508" s="98" t="s">
        <v>119</v>
      </c>
      <c r="D508" s="489">
        <f>D512</f>
        <v>63984</v>
      </c>
      <c r="E508" s="145"/>
      <c r="F508" s="489">
        <v>0</v>
      </c>
      <c r="G508" s="782">
        <f>G512</f>
        <v>-10000</v>
      </c>
      <c r="H508" s="489">
        <f t="shared" si="58"/>
        <v>53984</v>
      </c>
      <c r="I508" s="489">
        <v>63984</v>
      </c>
      <c r="J508" s="489">
        <f t="shared" si="54"/>
        <v>0</v>
      </c>
      <c r="K508" s="869">
        <f t="shared" si="55"/>
        <v>0</v>
      </c>
      <c r="L508" s="489">
        <f t="shared" si="56"/>
        <v>10000</v>
      </c>
      <c r="M508" s="869">
        <f t="shared" si="57"/>
        <v>0.18524007113218732</v>
      </c>
    </row>
    <row r="509" spans="1:13" s="56" customFormat="1" x14ac:dyDescent="0.2">
      <c r="A509" s="503"/>
      <c r="B509" s="503"/>
      <c r="C509" s="366"/>
      <c r="D509" s="10"/>
      <c r="E509" s="10"/>
      <c r="F509" s="10">
        <v>0</v>
      </c>
      <c r="G509" s="10"/>
      <c r="H509" s="10">
        <f t="shared" si="58"/>
        <v>0</v>
      </c>
      <c r="I509" s="10">
        <v>0</v>
      </c>
      <c r="J509" s="10">
        <f t="shared" si="54"/>
        <v>0</v>
      </c>
      <c r="K509" s="907"/>
      <c r="L509" s="10">
        <f t="shared" si="56"/>
        <v>0</v>
      </c>
      <c r="M509" s="907"/>
    </row>
    <row r="510" spans="1:13" s="56" customFormat="1" x14ac:dyDescent="0.2">
      <c r="A510" s="503"/>
      <c r="B510" s="503"/>
      <c r="C510" s="105" t="s">
        <v>196</v>
      </c>
      <c r="D510" s="118"/>
      <c r="E510" s="118"/>
      <c r="F510" s="477">
        <v>0</v>
      </c>
      <c r="G510" s="477"/>
      <c r="H510" s="477">
        <f t="shared" si="58"/>
        <v>0</v>
      </c>
      <c r="I510" s="477">
        <v>0</v>
      </c>
      <c r="J510" s="477">
        <f t="shared" si="54"/>
        <v>0</v>
      </c>
      <c r="K510" s="909"/>
      <c r="L510" s="477">
        <f t="shared" si="56"/>
        <v>0</v>
      </c>
      <c r="M510" s="909"/>
    </row>
    <row r="511" spans="1:13" s="56" customFormat="1" x14ac:dyDescent="0.2">
      <c r="A511" s="503"/>
      <c r="B511" s="503"/>
      <c r="C511" s="106" t="s">
        <v>694</v>
      </c>
      <c r="D511" s="194">
        <v>1313070</v>
      </c>
      <c r="E511" s="194"/>
      <c r="F511" s="194">
        <v>0</v>
      </c>
      <c r="G511" s="194">
        <v>-203700</v>
      </c>
      <c r="H511" s="194">
        <f t="shared" si="58"/>
        <v>1109370</v>
      </c>
      <c r="I511" s="194">
        <v>1313155</v>
      </c>
      <c r="J511" s="194">
        <f t="shared" si="54"/>
        <v>85</v>
      </c>
      <c r="K511" s="887">
        <f t="shared" si="55"/>
        <v>6.4733791800894089E-5</v>
      </c>
      <c r="L511" s="194">
        <f t="shared" si="56"/>
        <v>203785</v>
      </c>
      <c r="M511" s="887">
        <f t="shared" si="57"/>
        <v>0.18369434904495344</v>
      </c>
    </row>
    <row r="512" spans="1:13" s="56" customFormat="1" x14ac:dyDescent="0.2">
      <c r="A512" s="503"/>
      <c r="B512" s="503"/>
      <c r="C512" s="103" t="s">
        <v>119</v>
      </c>
      <c r="D512" s="489">
        <v>63984</v>
      </c>
      <c r="E512" s="145"/>
      <c r="F512" s="489">
        <v>0</v>
      </c>
      <c r="G512" s="781">
        <v>-10000</v>
      </c>
      <c r="H512" s="489">
        <f t="shared" si="58"/>
        <v>53984</v>
      </c>
      <c r="I512" s="489">
        <v>63984</v>
      </c>
      <c r="J512" s="489">
        <f t="shared" si="54"/>
        <v>0</v>
      </c>
      <c r="K512" s="869">
        <f t="shared" si="55"/>
        <v>0</v>
      </c>
      <c r="L512" s="489">
        <f t="shared" si="56"/>
        <v>10000</v>
      </c>
      <c r="M512" s="869">
        <f t="shared" si="57"/>
        <v>0.18524007113218732</v>
      </c>
    </row>
    <row r="513" spans="1:13" x14ac:dyDescent="0.2">
      <c r="C513" s="106"/>
      <c r="D513" s="194"/>
      <c r="E513" s="194"/>
      <c r="F513" s="194">
        <v>0</v>
      </c>
      <c r="G513" s="194"/>
      <c r="H513" s="194">
        <f t="shared" si="58"/>
        <v>0</v>
      </c>
      <c r="I513" s="194">
        <v>0</v>
      </c>
      <c r="J513" s="194">
        <f t="shared" si="54"/>
        <v>0</v>
      </c>
      <c r="K513" s="887"/>
      <c r="L513" s="194">
        <f t="shared" si="56"/>
        <v>0</v>
      </c>
      <c r="M513" s="887"/>
    </row>
    <row r="514" spans="1:13" x14ac:dyDescent="0.2">
      <c r="C514" s="100" t="s">
        <v>197</v>
      </c>
      <c r="D514" s="170">
        <f>D516+D519+D549+D600+D604+D608+D610+D569+D597+D606</f>
        <v>7735557</v>
      </c>
      <c r="E514" s="170"/>
      <c r="F514" s="488">
        <f>F516+F519+F549+F600+F604+F608+F610+F569+F597+F606+F602</f>
        <v>208203</v>
      </c>
      <c r="G514" s="488">
        <f>G516+G519+G549+G600+G604+G608+G610+G569+G597+G606</f>
        <v>-1058960</v>
      </c>
      <c r="H514" s="488">
        <f t="shared" si="58"/>
        <v>6884800</v>
      </c>
      <c r="I514" s="488">
        <v>6993386</v>
      </c>
      <c r="J514" s="488">
        <f t="shared" si="54"/>
        <v>-742171</v>
      </c>
      <c r="K514" s="865">
        <f t="shared" si="55"/>
        <v>-9.5942800240499809E-2</v>
      </c>
      <c r="L514" s="488">
        <f t="shared" si="56"/>
        <v>108586</v>
      </c>
      <c r="M514" s="865">
        <f t="shared" si="57"/>
        <v>1.5771845224262143E-2</v>
      </c>
    </row>
    <row r="515" spans="1:13" x14ac:dyDescent="0.2">
      <c r="C515" s="100"/>
      <c r="D515" s="170"/>
      <c r="E515" s="170"/>
      <c r="F515" s="488">
        <v>0</v>
      </c>
      <c r="G515" s="488"/>
      <c r="H515" s="488">
        <f t="shared" si="58"/>
        <v>0</v>
      </c>
      <c r="I515" s="488">
        <v>0</v>
      </c>
      <c r="J515" s="488">
        <f t="shared" si="54"/>
        <v>0</v>
      </c>
      <c r="K515" s="865"/>
      <c r="L515" s="488">
        <f t="shared" si="56"/>
        <v>0</v>
      </c>
      <c r="M515" s="865"/>
    </row>
    <row r="516" spans="1:13" x14ac:dyDescent="0.2">
      <c r="A516" s="459" t="s">
        <v>864</v>
      </c>
      <c r="B516" s="504" t="s">
        <v>783</v>
      </c>
      <c r="C516" s="104" t="s">
        <v>949</v>
      </c>
      <c r="D516" s="172">
        <v>1067685</v>
      </c>
      <c r="E516" s="172"/>
      <c r="F516" s="172">
        <v>-15850</v>
      </c>
      <c r="G516" s="172">
        <v>-8570</v>
      </c>
      <c r="H516" s="172">
        <f t="shared" si="58"/>
        <v>1043265</v>
      </c>
      <c r="I516" s="172">
        <v>1084025</v>
      </c>
      <c r="J516" s="172">
        <f t="shared" si="54"/>
        <v>16340</v>
      </c>
      <c r="K516" s="524">
        <f t="shared" si="55"/>
        <v>1.5304139329483884E-2</v>
      </c>
      <c r="L516" s="172">
        <f t="shared" si="56"/>
        <v>40760</v>
      </c>
      <c r="M516" s="524">
        <f t="shared" si="57"/>
        <v>3.9069651526697433E-2</v>
      </c>
    </row>
    <row r="517" spans="1:13" x14ac:dyDescent="0.2">
      <c r="C517" s="308" t="s">
        <v>119</v>
      </c>
      <c r="D517" s="489">
        <v>603785</v>
      </c>
      <c r="E517" s="145"/>
      <c r="F517" s="489">
        <v>-4169</v>
      </c>
      <c r="G517" s="782">
        <v>-13092</v>
      </c>
      <c r="H517" s="489">
        <f t="shared" si="58"/>
        <v>586524</v>
      </c>
      <c r="I517" s="489">
        <v>616827</v>
      </c>
      <c r="J517" s="489">
        <f t="shared" si="54"/>
        <v>13042</v>
      </c>
      <c r="K517" s="869">
        <f t="shared" si="55"/>
        <v>2.1600404117359657E-2</v>
      </c>
      <c r="L517" s="489">
        <f t="shared" si="56"/>
        <v>30303</v>
      </c>
      <c r="M517" s="869">
        <f t="shared" si="57"/>
        <v>5.1665404996214991E-2</v>
      </c>
    </row>
    <row r="518" spans="1:13" x14ac:dyDescent="0.2">
      <c r="C518" s="100"/>
      <c r="D518" s="170"/>
      <c r="E518" s="170"/>
      <c r="F518" s="488">
        <v>0</v>
      </c>
      <c r="G518" s="488"/>
      <c r="H518" s="488">
        <f t="shared" si="58"/>
        <v>0</v>
      </c>
      <c r="I518" s="488">
        <v>0</v>
      </c>
      <c r="J518" s="488">
        <f t="shared" si="54"/>
        <v>0</v>
      </c>
      <c r="K518" s="865"/>
      <c r="L518" s="488">
        <f t="shared" si="56"/>
        <v>0</v>
      </c>
      <c r="M518" s="865"/>
    </row>
    <row r="519" spans="1:13" x14ac:dyDescent="0.2">
      <c r="A519" s="459" t="s">
        <v>864</v>
      </c>
      <c r="B519" s="504" t="s">
        <v>783</v>
      </c>
      <c r="C519" s="104" t="s">
        <v>330</v>
      </c>
      <c r="D519" s="172">
        <f>SUM(D523:D541)-D539-D540+131200+60000</f>
        <v>2758965</v>
      </c>
      <c r="E519" s="172"/>
      <c r="F519" s="172">
        <f>-125000-300000</f>
        <v>-425000</v>
      </c>
      <c r="G519" s="574">
        <f>G523+G526+G527+G529+G530+G534+G537+G538+G542</f>
        <v>-1166490</v>
      </c>
      <c r="H519" s="172">
        <f t="shared" si="58"/>
        <v>1167475</v>
      </c>
      <c r="I519" s="172">
        <v>1809580</v>
      </c>
      <c r="J519" s="172">
        <f t="shared" si="54"/>
        <v>-949385</v>
      </c>
      <c r="K519" s="524">
        <f t="shared" si="55"/>
        <v>-0.34410911338128608</v>
      </c>
      <c r="L519" s="172">
        <f t="shared" si="56"/>
        <v>642105</v>
      </c>
      <c r="M519" s="524">
        <f t="shared" si="57"/>
        <v>0.54999464656630759</v>
      </c>
    </row>
    <row r="520" spans="1:13" x14ac:dyDescent="0.2">
      <c r="C520" s="308" t="s">
        <v>119</v>
      </c>
      <c r="D520" s="489">
        <v>140000</v>
      </c>
      <c r="E520" s="145"/>
      <c r="F520" s="489"/>
      <c r="G520" s="782">
        <v>-66500</v>
      </c>
      <c r="H520" s="489">
        <f t="shared" si="58"/>
        <v>73500</v>
      </c>
      <c r="I520" s="489">
        <v>80000</v>
      </c>
      <c r="J520" s="489">
        <f t="shared" si="54"/>
        <v>-60000</v>
      </c>
      <c r="K520" s="869">
        <f t="shared" si="55"/>
        <v>-0.42857142857142855</v>
      </c>
      <c r="L520" s="489">
        <f t="shared" si="56"/>
        <v>6500</v>
      </c>
      <c r="M520" s="869">
        <f t="shared" si="57"/>
        <v>8.8435374149659865E-2</v>
      </c>
    </row>
    <row r="521" spans="1:13" s="486" customFormat="1" x14ac:dyDescent="0.2">
      <c r="A521" s="503"/>
      <c r="B521" s="503"/>
      <c r="C521" s="308" t="s">
        <v>331</v>
      </c>
      <c r="D521" s="145"/>
      <c r="E521" s="145"/>
      <c r="F521" s="489">
        <v>0</v>
      </c>
      <c r="G521" s="489"/>
      <c r="H521" s="489">
        <f t="shared" si="58"/>
        <v>0</v>
      </c>
      <c r="I521" s="489">
        <v>0</v>
      </c>
      <c r="J521" s="489">
        <f t="shared" si="54"/>
        <v>0</v>
      </c>
      <c r="K521" s="869"/>
      <c r="L521" s="489">
        <f t="shared" si="56"/>
        <v>0</v>
      </c>
      <c r="M521" s="869"/>
    </row>
    <row r="522" spans="1:13" x14ac:dyDescent="0.2">
      <c r="C522" s="311" t="s">
        <v>332</v>
      </c>
      <c r="D522" s="489"/>
      <c r="E522" s="489"/>
      <c r="F522" s="489">
        <v>19600</v>
      </c>
      <c r="G522" s="489"/>
      <c r="H522" s="489">
        <f t="shared" si="58"/>
        <v>19600</v>
      </c>
      <c r="I522" s="489">
        <v>0</v>
      </c>
      <c r="J522" s="489">
        <f t="shared" si="54"/>
        <v>0</v>
      </c>
      <c r="K522" s="869"/>
      <c r="L522" s="489">
        <f t="shared" si="56"/>
        <v>-19600</v>
      </c>
      <c r="M522" s="869">
        <f t="shared" si="57"/>
        <v>-1</v>
      </c>
    </row>
    <row r="523" spans="1:13" x14ac:dyDescent="0.2">
      <c r="C523" s="311" t="s">
        <v>333</v>
      </c>
      <c r="D523" s="201">
        <v>50000</v>
      </c>
      <c r="E523" s="201"/>
      <c r="F523" s="490">
        <v>0</v>
      </c>
      <c r="G523" s="490">
        <v>-46700</v>
      </c>
      <c r="H523" s="490">
        <f t="shared" si="58"/>
        <v>3300</v>
      </c>
      <c r="I523" s="490">
        <v>50000</v>
      </c>
      <c r="J523" s="490">
        <f t="shared" si="54"/>
        <v>0</v>
      </c>
      <c r="K523" s="914">
        <f t="shared" si="55"/>
        <v>0</v>
      </c>
      <c r="L523" s="490">
        <f t="shared" si="56"/>
        <v>46700</v>
      </c>
      <c r="M523" s="914">
        <f t="shared" si="57"/>
        <v>14.151515151515152</v>
      </c>
    </row>
    <row r="524" spans="1:13" s="486" customFormat="1" x14ac:dyDescent="0.2">
      <c r="A524" s="503"/>
      <c r="B524" s="503"/>
      <c r="C524" s="311" t="s">
        <v>334</v>
      </c>
      <c r="D524" s="201">
        <v>14000</v>
      </c>
      <c r="E524" s="201"/>
      <c r="F524" s="490">
        <v>0</v>
      </c>
      <c r="G524" s="490"/>
      <c r="H524" s="490">
        <f t="shared" si="58"/>
        <v>14000</v>
      </c>
      <c r="I524" s="490">
        <v>14000</v>
      </c>
      <c r="J524" s="490">
        <f t="shared" si="54"/>
        <v>0</v>
      </c>
      <c r="K524" s="914">
        <f t="shared" si="55"/>
        <v>0</v>
      </c>
      <c r="L524" s="490">
        <f t="shared" si="56"/>
        <v>0</v>
      </c>
      <c r="M524" s="914">
        <f t="shared" si="57"/>
        <v>0</v>
      </c>
    </row>
    <row r="525" spans="1:13" s="486" customFormat="1" x14ac:dyDescent="0.2">
      <c r="A525" s="503"/>
      <c r="B525" s="503"/>
      <c r="C525" s="689" t="s">
        <v>1012</v>
      </c>
      <c r="D525" s="490"/>
      <c r="E525" s="490"/>
      <c r="F525" s="490"/>
      <c r="G525" s="490"/>
      <c r="H525" s="490">
        <f t="shared" si="58"/>
        <v>0</v>
      </c>
      <c r="I525" s="490">
        <v>5000</v>
      </c>
      <c r="J525" s="490">
        <f t="shared" si="54"/>
        <v>5000</v>
      </c>
      <c r="K525" s="914"/>
      <c r="L525" s="490">
        <f t="shared" si="56"/>
        <v>5000</v>
      </c>
      <c r="M525" s="914"/>
    </row>
    <row r="526" spans="1:13" x14ac:dyDescent="0.2">
      <c r="C526" s="737" t="s">
        <v>1030</v>
      </c>
      <c r="D526" s="490"/>
      <c r="E526" s="490"/>
      <c r="F526" s="490"/>
      <c r="G526" s="490">
        <v>108900</v>
      </c>
      <c r="H526" s="490">
        <f t="shared" si="58"/>
        <v>108900</v>
      </c>
      <c r="I526" s="490">
        <v>0</v>
      </c>
      <c r="J526" s="490">
        <f t="shared" si="54"/>
        <v>0</v>
      </c>
      <c r="K526" s="914"/>
      <c r="L526" s="490">
        <f t="shared" si="56"/>
        <v>-108900</v>
      </c>
      <c r="M526" s="914">
        <f t="shared" si="57"/>
        <v>-1</v>
      </c>
    </row>
    <row r="527" spans="1:13" s="486" customFormat="1" x14ac:dyDescent="0.2">
      <c r="A527" s="503"/>
      <c r="B527" s="503"/>
      <c r="C527" s="311" t="s">
        <v>335</v>
      </c>
      <c r="D527" s="201">
        <v>227000</v>
      </c>
      <c r="E527" s="201"/>
      <c r="F527" s="490">
        <v>0</v>
      </c>
      <c r="G527" s="490">
        <v>-226000</v>
      </c>
      <c r="H527" s="490">
        <f t="shared" si="58"/>
        <v>1000</v>
      </c>
      <c r="I527" s="490">
        <v>350000</v>
      </c>
      <c r="J527" s="490">
        <f t="shared" si="54"/>
        <v>123000</v>
      </c>
      <c r="K527" s="914">
        <f t="shared" si="55"/>
        <v>0.54185022026431717</v>
      </c>
      <c r="L527" s="490">
        <f t="shared" si="56"/>
        <v>349000</v>
      </c>
      <c r="M527" s="914">
        <f t="shared" si="57"/>
        <v>349</v>
      </c>
    </row>
    <row r="528" spans="1:13" x14ac:dyDescent="0.2">
      <c r="C528" s="736" t="s">
        <v>689</v>
      </c>
      <c r="D528" s="490"/>
      <c r="E528" s="490"/>
      <c r="F528" s="490"/>
      <c r="G528" s="490"/>
      <c r="H528" s="490">
        <f t="shared" si="58"/>
        <v>0</v>
      </c>
      <c r="I528" s="490">
        <v>16000</v>
      </c>
      <c r="J528" s="490">
        <f t="shared" si="54"/>
        <v>16000</v>
      </c>
      <c r="K528" s="914"/>
      <c r="L528" s="490">
        <f t="shared" si="56"/>
        <v>16000</v>
      </c>
      <c r="M528" s="914"/>
    </row>
    <row r="529" spans="1:13" x14ac:dyDescent="0.2">
      <c r="C529" s="311" t="s">
        <v>336</v>
      </c>
      <c r="D529" s="201">
        <v>664000</v>
      </c>
      <c r="E529" s="201"/>
      <c r="F529" s="490">
        <v>0</v>
      </c>
      <c r="G529" s="490">
        <v>-574000</v>
      </c>
      <c r="H529" s="490">
        <f t="shared" si="58"/>
        <v>90000</v>
      </c>
      <c r="I529" s="490">
        <v>756380</v>
      </c>
      <c r="J529" s="490">
        <f t="shared" si="54"/>
        <v>92380</v>
      </c>
      <c r="K529" s="914">
        <f t="shared" si="55"/>
        <v>0.13912650602409637</v>
      </c>
      <c r="L529" s="490">
        <f t="shared" si="56"/>
        <v>666380</v>
      </c>
      <c r="M529" s="914">
        <f t="shared" si="57"/>
        <v>7.4042222222222218</v>
      </c>
    </row>
    <row r="530" spans="1:13" x14ac:dyDescent="0.2">
      <c r="C530" s="111" t="s">
        <v>982</v>
      </c>
      <c r="D530" s="201">
        <v>20000</v>
      </c>
      <c r="E530" s="201"/>
      <c r="F530" s="490"/>
      <c r="G530" s="490">
        <v>-10200</v>
      </c>
      <c r="H530" s="490">
        <f t="shared" si="58"/>
        <v>9800</v>
      </c>
      <c r="I530" s="490">
        <v>20000</v>
      </c>
      <c r="J530" s="490">
        <f t="shared" si="54"/>
        <v>0</v>
      </c>
      <c r="K530" s="914">
        <f t="shared" si="55"/>
        <v>0</v>
      </c>
      <c r="L530" s="490">
        <f t="shared" si="56"/>
        <v>10200</v>
      </c>
      <c r="M530" s="914">
        <f t="shared" si="57"/>
        <v>1.0408163265306123</v>
      </c>
    </row>
    <row r="531" spans="1:13" x14ac:dyDescent="0.2">
      <c r="C531" s="311" t="s">
        <v>563</v>
      </c>
      <c r="D531" s="201">
        <v>6000</v>
      </c>
      <c r="E531" s="201"/>
      <c r="F531" s="490">
        <v>4000</v>
      </c>
      <c r="G531" s="490"/>
      <c r="H531" s="490">
        <f t="shared" si="58"/>
        <v>10000</v>
      </c>
      <c r="I531" s="490">
        <v>10000</v>
      </c>
      <c r="J531" s="490">
        <f t="shared" si="54"/>
        <v>4000</v>
      </c>
      <c r="K531" s="914">
        <f t="shared" si="55"/>
        <v>0.66666666666666663</v>
      </c>
      <c r="L531" s="490">
        <f t="shared" si="56"/>
        <v>0</v>
      </c>
      <c r="M531" s="914">
        <f t="shared" si="57"/>
        <v>0</v>
      </c>
    </row>
    <row r="532" spans="1:13" x14ac:dyDescent="0.2">
      <c r="C532" s="311" t="s">
        <v>337</v>
      </c>
      <c r="D532" s="201">
        <v>60000</v>
      </c>
      <c r="E532" s="201"/>
      <c r="F532" s="490">
        <v>-60000</v>
      </c>
      <c r="G532" s="490"/>
      <c r="H532" s="490">
        <f t="shared" si="58"/>
        <v>0</v>
      </c>
      <c r="I532" s="490">
        <v>0</v>
      </c>
      <c r="J532" s="490">
        <f t="shared" si="54"/>
        <v>-60000</v>
      </c>
      <c r="K532" s="914">
        <f t="shared" si="55"/>
        <v>-1</v>
      </c>
      <c r="L532" s="490">
        <f t="shared" si="56"/>
        <v>0</v>
      </c>
      <c r="M532" s="914"/>
    </row>
    <row r="533" spans="1:13" x14ac:dyDescent="0.2">
      <c r="C533" s="311" t="s">
        <v>338</v>
      </c>
      <c r="D533" s="201">
        <v>30000</v>
      </c>
      <c r="E533" s="201"/>
      <c r="F533" s="490">
        <v>0</v>
      </c>
      <c r="G533" s="490"/>
      <c r="H533" s="490">
        <f t="shared" si="58"/>
        <v>30000</v>
      </c>
      <c r="I533" s="490">
        <v>30000</v>
      </c>
      <c r="J533" s="490">
        <f t="shared" si="54"/>
        <v>0</v>
      </c>
      <c r="K533" s="914">
        <f t="shared" si="55"/>
        <v>0</v>
      </c>
      <c r="L533" s="490">
        <f t="shared" si="56"/>
        <v>0</v>
      </c>
      <c r="M533" s="914">
        <f t="shared" si="57"/>
        <v>0</v>
      </c>
    </row>
    <row r="534" spans="1:13" x14ac:dyDescent="0.2">
      <c r="C534" s="311" t="s">
        <v>1010</v>
      </c>
      <c r="D534" s="201">
        <v>30000</v>
      </c>
      <c r="E534" s="201"/>
      <c r="F534" s="490">
        <v>0</v>
      </c>
      <c r="G534" s="490">
        <v>-30000</v>
      </c>
      <c r="H534" s="490">
        <f t="shared" si="58"/>
        <v>0</v>
      </c>
      <c r="I534" s="490">
        <v>30000</v>
      </c>
      <c r="J534" s="490">
        <f t="shared" si="54"/>
        <v>0</v>
      </c>
      <c r="K534" s="914">
        <f t="shared" si="55"/>
        <v>0</v>
      </c>
      <c r="L534" s="490">
        <f t="shared" si="56"/>
        <v>30000</v>
      </c>
      <c r="M534" s="914"/>
    </row>
    <row r="535" spans="1:13" x14ac:dyDescent="0.2">
      <c r="C535" s="311" t="s">
        <v>339</v>
      </c>
      <c r="D535" s="201">
        <v>6000</v>
      </c>
      <c r="E535" s="201"/>
      <c r="F535" s="490">
        <v>0</v>
      </c>
      <c r="G535" s="490"/>
      <c r="H535" s="490">
        <f t="shared" si="58"/>
        <v>6000</v>
      </c>
      <c r="I535" s="490">
        <v>6000</v>
      </c>
      <c r="J535" s="490">
        <f t="shared" si="54"/>
        <v>0</v>
      </c>
      <c r="K535" s="914">
        <f t="shared" si="55"/>
        <v>0</v>
      </c>
      <c r="L535" s="490">
        <f t="shared" si="56"/>
        <v>0</v>
      </c>
      <c r="M535" s="914">
        <f t="shared" si="57"/>
        <v>0</v>
      </c>
    </row>
    <row r="536" spans="1:13" x14ac:dyDescent="0.2">
      <c r="C536" s="311" t="s">
        <v>340</v>
      </c>
      <c r="D536" s="201">
        <v>6000</v>
      </c>
      <c r="E536" s="201"/>
      <c r="F536" s="490">
        <v>0</v>
      </c>
      <c r="G536" s="490"/>
      <c r="H536" s="490">
        <f t="shared" si="58"/>
        <v>6000</v>
      </c>
      <c r="I536" s="490">
        <v>6000</v>
      </c>
      <c r="J536" s="490">
        <f t="shared" si="54"/>
        <v>0</v>
      </c>
      <c r="K536" s="914">
        <f t="shared" si="55"/>
        <v>0</v>
      </c>
      <c r="L536" s="490">
        <f t="shared" si="56"/>
        <v>0</v>
      </c>
      <c r="M536" s="914">
        <f t="shared" si="57"/>
        <v>0</v>
      </c>
    </row>
    <row r="537" spans="1:13" x14ac:dyDescent="0.2">
      <c r="C537" s="311" t="s">
        <v>341</v>
      </c>
      <c r="D537" s="201">
        <f>200000+90500</f>
        <v>290500</v>
      </c>
      <c r="E537" s="201"/>
      <c r="F537" s="490">
        <v>-15000</v>
      </c>
      <c r="G537" s="490">
        <v>-273490</v>
      </c>
      <c r="H537" s="490">
        <f t="shared" si="58"/>
        <v>2010</v>
      </c>
      <c r="I537" s="490">
        <v>10000</v>
      </c>
      <c r="J537" s="490">
        <f t="shared" si="54"/>
        <v>-280500</v>
      </c>
      <c r="K537" s="914">
        <f t="shared" si="55"/>
        <v>-0.96557659208261615</v>
      </c>
      <c r="L537" s="490">
        <f t="shared" si="56"/>
        <v>7990</v>
      </c>
      <c r="M537" s="914">
        <f t="shared" si="57"/>
        <v>3.9751243781094527</v>
      </c>
    </row>
    <row r="538" spans="1:13" x14ac:dyDescent="0.2">
      <c r="C538" s="311" t="s">
        <v>688</v>
      </c>
      <c r="D538" s="201">
        <v>1154265</v>
      </c>
      <c r="E538" s="201"/>
      <c r="F538" s="490">
        <v>-300000</v>
      </c>
      <c r="G538" s="490">
        <v>-145000</v>
      </c>
      <c r="H538" s="490">
        <f t="shared" si="58"/>
        <v>709265</v>
      </c>
      <c r="I538" s="490">
        <v>0</v>
      </c>
      <c r="J538" s="490">
        <f t="shared" si="54"/>
        <v>-1154265</v>
      </c>
      <c r="K538" s="914">
        <f t="shared" si="55"/>
        <v>-1</v>
      </c>
      <c r="L538" s="490">
        <f t="shared" si="56"/>
        <v>-709265</v>
      </c>
      <c r="M538" s="914">
        <f t="shared" si="57"/>
        <v>-1</v>
      </c>
    </row>
    <row r="539" spans="1:13" x14ac:dyDescent="0.2">
      <c r="C539" s="293" t="s">
        <v>689</v>
      </c>
      <c r="D539" s="215">
        <v>107000</v>
      </c>
      <c r="E539" s="215"/>
      <c r="F539" s="482">
        <v>0</v>
      </c>
      <c r="G539" s="482">
        <v>-31500</v>
      </c>
      <c r="H539" s="482">
        <f t="shared" si="58"/>
        <v>75500</v>
      </c>
      <c r="I539" s="482">
        <v>0</v>
      </c>
      <c r="J539" s="482">
        <f t="shared" si="54"/>
        <v>-107000</v>
      </c>
      <c r="K539" s="873">
        <f t="shared" si="55"/>
        <v>-1</v>
      </c>
      <c r="L539" s="482">
        <f t="shared" si="56"/>
        <v>-75500</v>
      </c>
      <c r="M539" s="873">
        <f t="shared" si="57"/>
        <v>-1</v>
      </c>
    </row>
    <row r="540" spans="1:13" x14ac:dyDescent="0.2">
      <c r="C540" s="360" t="s">
        <v>690</v>
      </c>
      <c r="D540" s="215">
        <v>30000</v>
      </c>
      <c r="E540" s="215"/>
      <c r="F540" s="482">
        <v>0</v>
      </c>
      <c r="G540" s="482">
        <v>-8400</v>
      </c>
      <c r="H540" s="482">
        <f t="shared" si="58"/>
        <v>21600</v>
      </c>
      <c r="I540" s="482">
        <v>0</v>
      </c>
      <c r="J540" s="482">
        <f t="shared" si="54"/>
        <v>-30000</v>
      </c>
      <c r="K540" s="873">
        <f t="shared" si="55"/>
        <v>-1</v>
      </c>
      <c r="L540" s="482">
        <f t="shared" si="56"/>
        <v>-21600</v>
      </c>
      <c r="M540" s="873">
        <f t="shared" si="57"/>
        <v>-1</v>
      </c>
    </row>
    <row r="541" spans="1:13" s="486" customFormat="1" x14ac:dyDescent="0.2">
      <c r="A541" s="503"/>
      <c r="B541" s="503"/>
      <c r="C541" s="311" t="s">
        <v>564</v>
      </c>
      <c r="D541" s="201">
        <v>10000</v>
      </c>
      <c r="E541" s="201"/>
      <c r="F541" s="490">
        <v>-10000</v>
      </c>
      <c r="G541" s="490"/>
      <c r="H541" s="490">
        <f t="shared" si="58"/>
        <v>0</v>
      </c>
      <c r="I541" s="490">
        <v>10000</v>
      </c>
      <c r="J541" s="490">
        <f t="shared" si="54"/>
        <v>0</v>
      </c>
      <c r="K541" s="914">
        <f t="shared" si="55"/>
        <v>0</v>
      </c>
      <c r="L541" s="490">
        <f t="shared" si="56"/>
        <v>10000</v>
      </c>
      <c r="M541" s="914"/>
    </row>
    <row r="542" spans="1:13" s="486" customFormat="1" ht="22.5" x14ac:dyDescent="0.2">
      <c r="A542" s="503"/>
      <c r="B542" s="503"/>
      <c r="C542" s="737" t="s">
        <v>1031</v>
      </c>
      <c r="D542" s="490"/>
      <c r="E542" s="490"/>
      <c r="F542" s="490"/>
      <c r="G542" s="490">
        <v>30000</v>
      </c>
      <c r="H542" s="490">
        <f t="shared" si="58"/>
        <v>30000</v>
      </c>
      <c r="I542" s="490">
        <v>0</v>
      </c>
      <c r="J542" s="490">
        <f t="shared" si="54"/>
        <v>0</v>
      </c>
      <c r="K542" s="914"/>
      <c r="L542" s="490">
        <f t="shared" si="56"/>
        <v>-30000</v>
      </c>
      <c r="M542" s="914">
        <f t="shared" si="57"/>
        <v>-1</v>
      </c>
    </row>
    <row r="543" spans="1:13" s="486" customFormat="1" x14ac:dyDescent="0.2">
      <c r="A543" s="503"/>
      <c r="B543" s="503"/>
      <c r="C543" s="689" t="s">
        <v>1011</v>
      </c>
      <c r="D543" s="490"/>
      <c r="E543" s="490"/>
      <c r="F543" s="490"/>
      <c r="G543" s="490"/>
      <c r="H543" s="490">
        <f t="shared" si="58"/>
        <v>0</v>
      </c>
      <c r="I543" s="490">
        <v>300000</v>
      </c>
      <c r="J543" s="490">
        <f t="shared" si="54"/>
        <v>300000</v>
      </c>
      <c r="K543" s="914"/>
      <c r="L543" s="490">
        <f t="shared" si="56"/>
        <v>300000</v>
      </c>
      <c r="M543" s="914"/>
    </row>
    <row r="544" spans="1:13" x14ac:dyDescent="0.2">
      <c r="C544" s="982" t="s">
        <v>1097</v>
      </c>
      <c r="D544" s="490"/>
      <c r="E544" s="490"/>
      <c r="F544" s="490"/>
      <c r="G544" s="490"/>
      <c r="H544" s="490"/>
      <c r="I544" s="490">
        <v>10000</v>
      </c>
      <c r="J544" s="490">
        <f t="shared" si="54"/>
        <v>10000</v>
      </c>
      <c r="K544" s="914"/>
      <c r="L544" s="490">
        <f t="shared" si="56"/>
        <v>10000</v>
      </c>
      <c r="M544" s="914"/>
    </row>
    <row r="545" spans="1:13" x14ac:dyDescent="0.2">
      <c r="C545" s="737" t="s">
        <v>1051</v>
      </c>
      <c r="D545" s="490"/>
      <c r="E545" s="490"/>
      <c r="F545" s="490"/>
      <c r="G545" s="490"/>
      <c r="H545" s="490">
        <f t="shared" si="58"/>
        <v>0</v>
      </c>
      <c r="I545" s="490">
        <v>30000</v>
      </c>
      <c r="J545" s="490">
        <f t="shared" si="54"/>
        <v>30000</v>
      </c>
      <c r="K545" s="914"/>
      <c r="L545" s="490">
        <f t="shared" si="56"/>
        <v>30000</v>
      </c>
      <c r="M545" s="914"/>
    </row>
    <row r="546" spans="1:13" x14ac:dyDescent="0.2">
      <c r="C546" s="311"/>
      <c r="D546" s="201"/>
      <c r="E546" s="201"/>
      <c r="F546" s="490">
        <v>0</v>
      </c>
      <c r="G546" s="490"/>
      <c r="H546" s="490">
        <f t="shared" si="58"/>
        <v>0</v>
      </c>
      <c r="I546" s="490">
        <v>0</v>
      </c>
      <c r="J546" s="490">
        <f t="shared" si="54"/>
        <v>0</v>
      </c>
      <c r="K546" s="914"/>
      <c r="L546" s="490">
        <f t="shared" si="56"/>
        <v>0</v>
      </c>
      <c r="M546" s="914"/>
    </row>
    <row r="547" spans="1:13" ht="33.75" x14ac:dyDescent="0.2">
      <c r="C547" s="395" t="s">
        <v>342</v>
      </c>
      <c r="D547" s="198"/>
      <c r="E547" s="198"/>
      <c r="F547" s="198">
        <v>0</v>
      </c>
      <c r="G547" s="198"/>
      <c r="H547" s="198">
        <f t="shared" si="58"/>
        <v>0</v>
      </c>
      <c r="I547" s="198">
        <v>0</v>
      </c>
      <c r="J547" s="198">
        <f t="shared" si="54"/>
        <v>0</v>
      </c>
      <c r="K547" s="915"/>
      <c r="L547" s="198">
        <f t="shared" si="56"/>
        <v>0</v>
      </c>
      <c r="M547" s="915"/>
    </row>
    <row r="548" spans="1:13" x14ac:dyDescent="0.2">
      <c r="C548" s="361"/>
      <c r="D548" s="142"/>
      <c r="E548" s="142"/>
      <c r="F548" s="500">
        <v>0</v>
      </c>
      <c r="G548" s="500"/>
      <c r="H548" s="500">
        <f t="shared" si="58"/>
        <v>0</v>
      </c>
      <c r="I548" s="500">
        <v>0</v>
      </c>
      <c r="J548" s="500">
        <f t="shared" si="54"/>
        <v>0</v>
      </c>
      <c r="K548" s="924"/>
      <c r="L548" s="500">
        <f t="shared" si="56"/>
        <v>0</v>
      </c>
      <c r="M548" s="924"/>
    </row>
    <row r="549" spans="1:13" x14ac:dyDescent="0.2">
      <c r="A549" s="459" t="s">
        <v>864</v>
      </c>
      <c r="B549" s="504" t="s">
        <v>783</v>
      </c>
      <c r="C549" s="104" t="s">
        <v>343</v>
      </c>
      <c r="D549" s="172">
        <f>D550+D553+D554+D555+D556+D557+D558+D559+D560+391520+17000+D562</f>
        <v>946520</v>
      </c>
      <c r="E549" s="172"/>
      <c r="F549" s="172">
        <v>145440</v>
      </c>
      <c r="G549" s="172">
        <f>G563+G564</f>
        <v>20600</v>
      </c>
      <c r="H549" s="172">
        <f t="shared" si="58"/>
        <v>1112560</v>
      </c>
      <c r="I549" s="172">
        <v>909520</v>
      </c>
      <c r="J549" s="172">
        <f t="shared" si="54"/>
        <v>-37000</v>
      </c>
      <c r="K549" s="524">
        <f t="shared" si="55"/>
        <v>-3.9090563326712589E-2</v>
      </c>
      <c r="L549" s="172">
        <f t="shared" si="56"/>
        <v>-203040</v>
      </c>
      <c r="M549" s="524">
        <f t="shared" si="57"/>
        <v>-0.18249802257855757</v>
      </c>
    </row>
    <row r="550" spans="1:13" x14ac:dyDescent="0.2">
      <c r="C550" s="327" t="s">
        <v>609</v>
      </c>
      <c r="D550" s="227">
        <v>100000</v>
      </c>
      <c r="E550" s="227"/>
      <c r="F550" s="227">
        <v>23000</v>
      </c>
      <c r="G550" s="227"/>
      <c r="H550" s="227">
        <f t="shared" si="58"/>
        <v>123000</v>
      </c>
      <c r="I550" s="227">
        <v>123000</v>
      </c>
      <c r="J550" s="227">
        <f t="shared" si="54"/>
        <v>23000</v>
      </c>
      <c r="K550" s="925">
        <f t="shared" si="55"/>
        <v>0.23</v>
      </c>
      <c r="L550" s="227">
        <f t="shared" si="56"/>
        <v>0</v>
      </c>
      <c r="M550" s="925">
        <f t="shared" si="57"/>
        <v>0</v>
      </c>
    </row>
    <row r="551" spans="1:13" x14ac:dyDescent="0.2">
      <c r="C551" s="362" t="s">
        <v>566</v>
      </c>
      <c r="D551" s="215">
        <v>12000</v>
      </c>
      <c r="E551" s="215"/>
      <c r="F551" s="482">
        <v>13000</v>
      </c>
      <c r="G551" s="482"/>
      <c r="H551" s="482">
        <f t="shared" si="58"/>
        <v>25000</v>
      </c>
      <c r="I551" s="482">
        <v>25000</v>
      </c>
      <c r="J551" s="482">
        <f t="shared" si="54"/>
        <v>13000</v>
      </c>
      <c r="K551" s="873">
        <f t="shared" si="55"/>
        <v>1.0833333333333333</v>
      </c>
      <c r="L551" s="482">
        <f t="shared" si="56"/>
        <v>0</v>
      </c>
      <c r="M551" s="873">
        <f t="shared" si="57"/>
        <v>0</v>
      </c>
    </row>
    <row r="552" spans="1:13" x14ac:dyDescent="0.2">
      <c r="C552" s="363" t="s">
        <v>567</v>
      </c>
      <c r="D552" s="215">
        <v>5000</v>
      </c>
      <c r="E552" s="215"/>
      <c r="F552" s="482">
        <v>0</v>
      </c>
      <c r="G552" s="482"/>
      <c r="H552" s="482">
        <f t="shared" si="58"/>
        <v>5000</v>
      </c>
      <c r="I552" s="482">
        <v>5000</v>
      </c>
      <c r="J552" s="482">
        <f t="shared" si="54"/>
        <v>0</v>
      </c>
      <c r="K552" s="873">
        <f t="shared" si="55"/>
        <v>0</v>
      </c>
      <c r="L552" s="482">
        <f t="shared" si="56"/>
        <v>0</v>
      </c>
      <c r="M552" s="873">
        <f t="shared" si="57"/>
        <v>0</v>
      </c>
    </row>
    <row r="553" spans="1:13" x14ac:dyDescent="0.2">
      <c r="C553" s="294" t="s">
        <v>565</v>
      </c>
      <c r="D553" s="201">
        <v>67000</v>
      </c>
      <c r="E553" s="201"/>
      <c r="F553" s="490">
        <v>0</v>
      </c>
      <c r="G553" s="490"/>
      <c r="H553" s="490">
        <f t="shared" si="58"/>
        <v>67000</v>
      </c>
      <c r="I553" s="490">
        <v>67000</v>
      </c>
      <c r="J553" s="490">
        <f t="shared" si="54"/>
        <v>0</v>
      </c>
      <c r="K553" s="914">
        <f t="shared" si="55"/>
        <v>0</v>
      </c>
      <c r="L553" s="490">
        <f t="shared" si="56"/>
        <v>0</v>
      </c>
      <c r="M553" s="914">
        <f t="shared" si="57"/>
        <v>0</v>
      </c>
    </row>
    <row r="554" spans="1:13" x14ac:dyDescent="0.2">
      <c r="C554" s="294" t="s">
        <v>344</v>
      </c>
      <c r="D554" s="201">
        <v>110000</v>
      </c>
      <c r="E554" s="201"/>
      <c r="F554" s="490">
        <v>0</v>
      </c>
      <c r="G554" s="490"/>
      <c r="H554" s="490">
        <f t="shared" si="58"/>
        <v>110000</v>
      </c>
      <c r="I554" s="490">
        <v>60000</v>
      </c>
      <c r="J554" s="490">
        <f t="shared" si="54"/>
        <v>-50000</v>
      </c>
      <c r="K554" s="914">
        <f t="shared" si="55"/>
        <v>-0.45454545454545453</v>
      </c>
      <c r="L554" s="490">
        <f t="shared" si="56"/>
        <v>-50000</v>
      </c>
      <c r="M554" s="914">
        <f t="shared" si="57"/>
        <v>-0.45454545454545453</v>
      </c>
    </row>
    <row r="555" spans="1:13" x14ac:dyDescent="0.2">
      <c r="C555" s="294" t="s">
        <v>480</v>
      </c>
      <c r="D555" s="201">
        <v>56000</v>
      </c>
      <c r="E555" s="201"/>
      <c r="F555" s="490">
        <v>0</v>
      </c>
      <c r="G555" s="490"/>
      <c r="H555" s="490">
        <f t="shared" si="58"/>
        <v>56000</v>
      </c>
      <c r="I555" s="490">
        <v>56000</v>
      </c>
      <c r="J555" s="490">
        <f t="shared" si="54"/>
        <v>0</v>
      </c>
      <c r="K555" s="914">
        <f t="shared" si="55"/>
        <v>0</v>
      </c>
      <c r="L555" s="490">
        <f t="shared" si="56"/>
        <v>0</v>
      </c>
      <c r="M555" s="914">
        <f t="shared" si="57"/>
        <v>0</v>
      </c>
    </row>
    <row r="556" spans="1:13" x14ac:dyDescent="0.2">
      <c r="C556" s="294" t="s">
        <v>347</v>
      </c>
      <c r="D556" s="201">
        <v>65000</v>
      </c>
      <c r="E556" s="201"/>
      <c r="F556" s="490">
        <v>0</v>
      </c>
      <c r="G556" s="490"/>
      <c r="H556" s="490">
        <f t="shared" si="58"/>
        <v>65000</v>
      </c>
      <c r="I556" s="490">
        <v>65000</v>
      </c>
      <c r="J556" s="490">
        <f t="shared" si="54"/>
        <v>0</v>
      </c>
      <c r="K556" s="914">
        <f t="shared" si="55"/>
        <v>0</v>
      </c>
      <c r="L556" s="490">
        <f t="shared" si="56"/>
        <v>0</v>
      </c>
      <c r="M556" s="914">
        <f t="shared" si="57"/>
        <v>0</v>
      </c>
    </row>
    <row r="557" spans="1:13" x14ac:dyDescent="0.2">
      <c r="C557" s="294" t="s">
        <v>518</v>
      </c>
      <c r="D557" s="201">
        <v>30000</v>
      </c>
      <c r="E557" s="201"/>
      <c r="F557" s="490">
        <v>0</v>
      </c>
      <c r="G557" s="490"/>
      <c r="H557" s="490">
        <f t="shared" si="58"/>
        <v>30000</v>
      </c>
      <c r="I557" s="490">
        <v>30000</v>
      </c>
      <c r="J557" s="490">
        <f t="shared" si="54"/>
        <v>0</v>
      </c>
      <c r="K557" s="914">
        <f t="shared" si="55"/>
        <v>0</v>
      </c>
      <c r="L557" s="490">
        <f t="shared" si="56"/>
        <v>0</v>
      </c>
      <c r="M557" s="914">
        <f t="shared" si="57"/>
        <v>0</v>
      </c>
    </row>
    <row r="558" spans="1:13" x14ac:dyDescent="0.2">
      <c r="C558" s="294" t="s">
        <v>345</v>
      </c>
      <c r="D558" s="201">
        <v>20000</v>
      </c>
      <c r="E558" s="201"/>
      <c r="F558" s="490">
        <v>0</v>
      </c>
      <c r="G558" s="490"/>
      <c r="H558" s="490">
        <f t="shared" si="58"/>
        <v>20000</v>
      </c>
      <c r="I558" s="490">
        <v>20000</v>
      </c>
      <c r="J558" s="490">
        <f t="shared" si="54"/>
        <v>0</v>
      </c>
      <c r="K558" s="914">
        <f t="shared" si="55"/>
        <v>0</v>
      </c>
      <c r="L558" s="490">
        <f t="shared" si="56"/>
        <v>0</v>
      </c>
      <c r="M558" s="914">
        <f t="shared" si="57"/>
        <v>0</v>
      </c>
    </row>
    <row r="559" spans="1:13" s="486" customFormat="1" x14ac:dyDescent="0.2">
      <c r="A559" s="503"/>
      <c r="B559" s="503"/>
      <c r="C559" s="294" t="s">
        <v>346</v>
      </c>
      <c r="D559" s="201">
        <v>65000</v>
      </c>
      <c r="E559" s="201"/>
      <c r="F559" s="490">
        <v>0</v>
      </c>
      <c r="G559" s="490"/>
      <c r="H559" s="490">
        <f t="shared" si="58"/>
        <v>65000</v>
      </c>
      <c r="I559" s="490">
        <v>15000</v>
      </c>
      <c r="J559" s="490">
        <f t="shared" si="54"/>
        <v>-50000</v>
      </c>
      <c r="K559" s="914">
        <f t="shared" si="55"/>
        <v>-0.76923076923076927</v>
      </c>
      <c r="L559" s="490">
        <f t="shared" si="56"/>
        <v>-50000</v>
      </c>
      <c r="M559" s="914">
        <f t="shared" si="57"/>
        <v>-0.76923076923076927</v>
      </c>
    </row>
    <row r="560" spans="1:13" s="56" customFormat="1" x14ac:dyDescent="0.2">
      <c r="A560" s="503"/>
      <c r="B560" s="503"/>
      <c r="C560" s="294" t="s">
        <v>610</v>
      </c>
      <c r="D560" s="201">
        <v>15000</v>
      </c>
      <c r="E560" s="201"/>
      <c r="F560" s="490">
        <v>0</v>
      </c>
      <c r="G560" s="490"/>
      <c r="H560" s="490">
        <f t="shared" si="58"/>
        <v>15000</v>
      </c>
      <c r="I560" s="490">
        <v>15000</v>
      </c>
      <c r="J560" s="490">
        <f t="shared" ref="J560:J622" si="59">I560-D560</f>
        <v>0</v>
      </c>
      <c r="K560" s="914">
        <f t="shared" ref="K560:K622" si="60">J560/D560</f>
        <v>0</v>
      </c>
      <c r="L560" s="490">
        <f t="shared" ref="L560:L622" si="61">I560-H560</f>
        <v>0</v>
      </c>
      <c r="M560" s="914">
        <f t="shared" ref="M560:M622" si="62">L560/H560</f>
        <v>0</v>
      </c>
    </row>
    <row r="561" spans="1:13" s="486" customFormat="1" x14ac:dyDescent="0.2">
      <c r="A561" s="503"/>
      <c r="B561" s="503"/>
      <c r="C561" s="294" t="s">
        <v>972</v>
      </c>
      <c r="D561" s="490"/>
      <c r="E561" s="490"/>
      <c r="F561" s="490">
        <v>12440</v>
      </c>
      <c r="G561" s="490"/>
      <c r="H561" s="490">
        <f t="shared" si="58"/>
        <v>12440</v>
      </c>
      <c r="I561" s="490">
        <v>0</v>
      </c>
      <c r="J561" s="490">
        <f t="shared" si="59"/>
        <v>0</v>
      </c>
      <c r="K561" s="914"/>
      <c r="L561" s="490">
        <f t="shared" si="61"/>
        <v>-12440</v>
      </c>
      <c r="M561" s="914">
        <f t="shared" si="62"/>
        <v>-1</v>
      </c>
    </row>
    <row r="562" spans="1:13" s="486" customFormat="1" x14ac:dyDescent="0.2">
      <c r="A562" s="503"/>
      <c r="B562" s="503"/>
      <c r="C562" s="294" t="s">
        <v>858</v>
      </c>
      <c r="D562" s="201">
        <v>10000</v>
      </c>
      <c r="E562" s="201"/>
      <c r="F562" s="490">
        <v>0</v>
      </c>
      <c r="G562" s="490"/>
      <c r="H562" s="490">
        <f t="shared" si="58"/>
        <v>10000</v>
      </c>
      <c r="I562" s="490">
        <v>10000</v>
      </c>
      <c r="J562" s="490">
        <f t="shared" si="59"/>
        <v>0</v>
      </c>
      <c r="K562" s="914">
        <f t="shared" si="60"/>
        <v>0</v>
      </c>
      <c r="L562" s="490">
        <f t="shared" si="61"/>
        <v>0</v>
      </c>
      <c r="M562" s="914">
        <f t="shared" si="62"/>
        <v>0</v>
      </c>
    </row>
    <row r="563" spans="1:13" s="486" customFormat="1" x14ac:dyDescent="0.2">
      <c r="A563" s="503"/>
      <c r="B563" s="503"/>
      <c r="C563" s="294" t="s">
        <v>942</v>
      </c>
      <c r="D563" s="490"/>
      <c r="E563" s="490"/>
      <c r="F563" s="490">
        <v>10000</v>
      </c>
      <c r="G563" s="490">
        <v>20000</v>
      </c>
      <c r="H563" s="490">
        <f t="shared" si="58"/>
        <v>30000</v>
      </c>
      <c r="I563" s="490">
        <v>0</v>
      </c>
      <c r="J563" s="490">
        <f t="shared" si="59"/>
        <v>0</v>
      </c>
      <c r="K563" s="914"/>
      <c r="L563" s="490">
        <f t="shared" si="61"/>
        <v>-30000</v>
      </c>
      <c r="M563" s="914">
        <f t="shared" si="62"/>
        <v>-1</v>
      </c>
    </row>
    <row r="564" spans="1:13" s="486" customFormat="1" x14ac:dyDescent="0.2">
      <c r="A564" s="503"/>
      <c r="B564" s="503"/>
      <c r="C564" s="294" t="s">
        <v>1033</v>
      </c>
      <c r="D564" s="490"/>
      <c r="E564" s="490"/>
      <c r="F564" s="490"/>
      <c r="G564" s="490">
        <v>600</v>
      </c>
      <c r="H564" s="490">
        <f t="shared" si="58"/>
        <v>600</v>
      </c>
      <c r="I564" s="490">
        <v>0</v>
      </c>
      <c r="J564" s="490">
        <f t="shared" si="59"/>
        <v>0</v>
      </c>
      <c r="K564" s="914"/>
      <c r="L564" s="490">
        <f t="shared" si="61"/>
        <v>-600</v>
      </c>
      <c r="M564" s="914">
        <f t="shared" si="62"/>
        <v>-1</v>
      </c>
    </row>
    <row r="565" spans="1:13" s="486" customFormat="1" x14ac:dyDescent="0.2">
      <c r="A565" s="503"/>
      <c r="B565" s="503"/>
      <c r="C565" s="294" t="s">
        <v>1032</v>
      </c>
      <c r="D565" s="490"/>
      <c r="E565" s="490"/>
      <c r="F565" s="490"/>
      <c r="G565" s="490"/>
      <c r="H565" s="490">
        <f t="shared" si="58"/>
        <v>0</v>
      </c>
      <c r="I565" s="490">
        <v>0</v>
      </c>
      <c r="J565" s="490">
        <f t="shared" si="59"/>
        <v>0</v>
      </c>
      <c r="K565" s="914"/>
      <c r="L565" s="490">
        <f t="shared" si="61"/>
        <v>0</v>
      </c>
      <c r="M565" s="914"/>
    </row>
    <row r="566" spans="1:13" x14ac:dyDescent="0.2">
      <c r="C566" s="763" t="s">
        <v>1052</v>
      </c>
      <c r="D566" s="490"/>
      <c r="E566" s="490"/>
      <c r="F566" s="490"/>
      <c r="G566" s="490"/>
      <c r="H566" s="490">
        <f t="shared" ref="H566:H628" si="63">D566+E566+F566+G566</f>
        <v>0</v>
      </c>
      <c r="I566" s="490">
        <v>55000</v>
      </c>
      <c r="J566" s="490">
        <f t="shared" si="59"/>
        <v>55000</v>
      </c>
      <c r="K566" s="914"/>
      <c r="L566" s="490">
        <f t="shared" si="61"/>
        <v>55000</v>
      </c>
      <c r="M566" s="914"/>
    </row>
    <row r="567" spans="1:13" s="56" customFormat="1" x14ac:dyDescent="0.2">
      <c r="A567" s="503"/>
      <c r="B567" s="503"/>
      <c r="C567" s="763" t="s">
        <v>1053</v>
      </c>
      <c r="D567" s="490"/>
      <c r="E567" s="490"/>
      <c r="F567" s="490"/>
      <c r="G567" s="490"/>
      <c r="H567" s="490">
        <f t="shared" si="63"/>
        <v>0</v>
      </c>
      <c r="I567" s="490">
        <v>175000</v>
      </c>
      <c r="J567" s="490">
        <f t="shared" si="59"/>
        <v>175000</v>
      </c>
      <c r="K567" s="914"/>
      <c r="L567" s="490">
        <f t="shared" si="61"/>
        <v>175000</v>
      </c>
      <c r="M567" s="914"/>
    </row>
    <row r="568" spans="1:13" s="56" customFormat="1" x14ac:dyDescent="0.2">
      <c r="A568" s="503"/>
      <c r="B568" s="503"/>
      <c r="C568" s="294"/>
      <c r="D568" s="201"/>
      <c r="E568" s="201"/>
      <c r="F568" s="490">
        <v>0</v>
      </c>
      <c r="G568" s="490"/>
      <c r="H568" s="490">
        <f t="shared" si="63"/>
        <v>0</v>
      </c>
      <c r="I568" s="490">
        <v>0</v>
      </c>
      <c r="J568" s="490">
        <f t="shared" si="59"/>
        <v>0</v>
      </c>
      <c r="K568" s="914"/>
      <c r="L568" s="490">
        <f t="shared" si="61"/>
        <v>0</v>
      </c>
      <c r="M568" s="914"/>
    </row>
    <row r="569" spans="1:13" s="486" customFormat="1" x14ac:dyDescent="0.2">
      <c r="A569" s="459" t="s">
        <v>850</v>
      </c>
      <c r="B569" s="504" t="s">
        <v>783</v>
      </c>
      <c r="C569" s="104" t="s">
        <v>784</v>
      </c>
      <c r="D569" s="229">
        <f>SUM(D570:D593)-D585</f>
        <v>2457760</v>
      </c>
      <c r="E569" s="229"/>
      <c r="F569" s="229">
        <f>F573+F577+F591+F592+F593</f>
        <v>285483</v>
      </c>
      <c r="G569" s="229">
        <f>SUM(G570:G593)-G583-G571</f>
        <v>55500</v>
      </c>
      <c r="H569" s="229">
        <f t="shared" si="63"/>
        <v>2798743</v>
      </c>
      <c r="I569" s="229">
        <v>2544260</v>
      </c>
      <c r="J569" s="229">
        <f t="shared" si="59"/>
        <v>86500</v>
      </c>
      <c r="K569" s="926">
        <f t="shared" si="60"/>
        <v>3.5194648785886337E-2</v>
      </c>
      <c r="L569" s="229">
        <f t="shared" si="61"/>
        <v>-254483</v>
      </c>
      <c r="M569" s="926">
        <f t="shared" si="62"/>
        <v>-9.0927605714422516E-2</v>
      </c>
    </row>
    <row r="570" spans="1:13" s="56" customFormat="1" x14ac:dyDescent="0.2">
      <c r="A570" s="503"/>
      <c r="B570" s="503"/>
      <c r="C570" s="148" t="s">
        <v>696</v>
      </c>
      <c r="D570" s="147">
        <f>736000-171000</f>
        <v>565000</v>
      </c>
      <c r="E570" s="147"/>
      <c r="F570" s="147">
        <v>0</v>
      </c>
      <c r="G570" s="147">
        <v>29500</v>
      </c>
      <c r="H570" s="147">
        <f t="shared" si="63"/>
        <v>594500</v>
      </c>
      <c r="I570" s="147">
        <v>565000</v>
      </c>
      <c r="J570" s="147">
        <f t="shared" si="59"/>
        <v>0</v>
      </c>
      <c r="K570" s="927">
        <f t="shared" si="60"/>
        <v>0</v>
      </c>
      <c r="L570" s="147">
        <f t="shared" si="61"/>
        <v>-29500</v>
      </c>
      <c r="M570" s="927">
        <f t="shared" si="62"/>
        <v>-4.9621530698065602E-2</v>
      </c>
    </row>
    <row r="571" spans="1:13" s="56" customFormat="1" ht="33.75" x14ac:dyDescent="0.2">
      <c r="A571" s="503"/>
      <c r="B571" s="503"/>
      <c r="C571" s="435" t="s">
        <v>1034</v>
      </c>
      <c r="D571" s="147"/>
      <c r="E571" s="147"/>
      <c r="F571" s="147"/>
      <c r="G571" s="147">
        <v>4000</v>
      </c>
      <c r="H571" s="147">
        <f t="shared" si="63"/>
        <v>4000</v>
      </c>
      <c r="I571" s="147">
        <v>0</v>
      </c>
      <c r="J571" s="147">
        <f t="shared" si="59"/>
        <v>0</v>
      </c>
      <c r="K571" s="927"/>
      <c r="L571" s="147">
        <f t="shared" si="61"/>
        <v>-4000</v>
      </c>
      <c r="M571" s="927">
        <f t="shared" si="62"/>
        <v>-1</v>
      </c>
    </row>
    <row r="572" spans="1:13" s="56" customFormat="1" x14ac:dyDescent="0.2">
      <c r="A572" s="503"/>
      <c r="B572" s="503"/>
      <c r="C572" s="149" t="s">
        <v>443</v>
      </c>
      <c r="D572" s="228">
        <v>150000</v>
      </c>
      <c r="E572" s="228"/>
      <c r="F572" s="228">
        <v>0</v>
      </c>
      <c r="G572" s="228"/>
      <c r="H572" s="228">
        <f t="shared" si="63"/>
        <v>150000</v>
      </c>
      <c r="I572" s="228">
        <v>150000</v>
      </c>
      <c r="J572" s="228">
        <f t="shared" si="59"/>
        <v>0</v>
      </c>
      <c r="K572" s="928">
        <f t="shared" si="60"/>
        <v>0</v>
      </c>
      <c r="L572" s="228">
        <f t="shared" si="61"/>
        <v>0</v>
      </c>
      <c r="M572" s="928">
        <f t="shared" si="62"/>
        <v>0</v>
      </c>
    </row>
    <row r="573" spans="1:13" s="56" customFormat="1" x14ac:dyDescent="0.2">
      <c r="A573" s="503"/>
      <c r="B573" s="503"/>
      <c r="C573" s="149" t="s">
        <v>508</v>
      </c>
      <c r="D573" s="228">
        <f>150000-50000</f>
        <v>100000</v>
      </c>
      <c r="E573" s="228"/>
      <c r="F573" s="228">
        <v>25000</v>
      </c>
      <c r="G573" s="228">
        <v>25000</v>
      </c>
      <c r="H573" s="228">
        <f t="shared" si="63"/>
        <v>150000</v>
      </c>
      <c r="I573" s="228">
        <v>150000</v>
      </c>
      <c r="J573" s="228">
        <f t="shared" si="59"/>
        <v>50000</v>
      </c>
      <c r="K573" s="928">
        <f t="shared" si="60"/>
        <v>0.5</v>
      </c>
      <c r="L573" s="228">
        <f t="shared" si="61"/>
        <v>0</v>
      </c>
      <c r="M573" s="928">
        <f t="shared" si="62"/>
        <v>0</v>
      </c>
    </row>
    <row r="574" spans="1:13" s="56" customFormat="1" x14ac:dyDescent="0.2">
      <c r="A574" s="503"/>
      <c r="B574" s="503"/>
      <c r="C574" s="149" t="s">
        <v>442</v>
      </c>
      <c r="D574" s="228">
        <v>65000</v>
      </c>
      <c r="E574" s="228"/>
      <c r="F574" s="228">
        <v>0</v>
      </c>
      <c r="G574" s="228"/>
      <c r="H574" s="228">
        <f t="shared" si="63"/>
        <v>65000</v>
      </c>
      <c r="I574" s="228">
        <v>65000</v>
      </c>
      <c r="J574" s="228">
        <f t="shared" si="59"/>
        <v>0</v>
      </c>
      <c r="K574" s="928">
        <f t="shared" si="60"/>
        <v>0</v>
      </c>
      <c r="L574" s="228">
        <f t="shared" si="61"/>
        <v>0</v>
      </c>
      <c r="M574" s="928">
        <f t="shared" si="62"/>
        <v>0</v>
      </c>
    </row>
    <row r="575" spans="1:13" s="56" customFormat="1" x14ac:dyDescent="0.2">
      <c r="A575" s="503"/>
      <c r="B575" s="503"/>
      <c r="C575" s="149" t="s">
        <v>441</v>
      </c>
      <c r="D575" s="228">
        <v>180000</v>
      </c>
      <c r="E575" s="228"/>
      <c r="F575" s="228">
        <v>0</v>
      </c>
      <c r="G575" s="228">
        <v>2500</v>
      </c>
      <c r="H575" s="228">
        <f t="shared" si="63"/>
        <v>182500</v>
      </c>
      <c r="I575" s="228">
        <v>125000</v>
      </c>
      <c r="J575" s="228">
        <f t="shared" si="59"/>
        <v>-55000</v>
      </c>
      <c r="K575" s="928">
        <f t="shared" si="60"/>
        <v>-0.30555555555555558</v>
      </c>
      <c r="L575" s="228">
        <f t="shared" si="61"/>
        <v>-57500</v>
      </c>
      <c r="M575" s="928">
        <f t="shared" si="62"/>
        <v>-0.31506849315068491</v>
      </c>
    </row>
    <row r="576" spans="1:13" s="486" customFormat="1" x14ac:dyDescent="0.2">
      <c r="A576" s="503"/>
      <c r="B576" s="503"/>
      <c r="C576" s="149" t="s">
        <v>445</v>
      </c>
      <c r="D576" s="228">
        <v>250000</v>
      </c>
      <c r="E576" s="228"/>
      <c r="F576" s="228">
        <v>0</v>
      </c>
      <c r="G576" s="228"/>
      <c r="H576" s="228">
        <f t="shared" si="63"/>
        <v>250000</v>
      </c>
      <c r="I576" s="228">
        <v>500000</v>
      </c>
      <c r="J576" s="228">
        <f t="shared" si="59"/>
        <v>250000</v>
      </c>
      <c r="K576" s="928">
        <f t="shared" si="60"/>
        <v>1</v>
      </c>
      <c r="L576" s="228">
        <f t="shared" si="61"/>
        <v>250000</v>
      </c>
      <c r="M576" s="928">
        <f t="shared" si="62"/>
        <v>1</v>
      </c>
    </row>
    <row r="577" spans="1:13" s="486" customFormat="1" x14ac:dyDescent="0.2">
      <c r="A577" s="503"/>
      <c r="B577" s="503"/>
      <c r="C577" s="149" t="s">
        <v>599</v>
      </c>
      <c r="D577" s="228">
        <v>270000</v>
      </c>
      <c r="E577" s="228"/>
      <c r="F577" s="228">
        <f>SUM(F578:F582)</f>
        <v>230483</v>
      </c>
      <c r="G577" s="228">
        <f>G583</f>
        <v>10000</v>
      </c>
      <c r="H577" s="228">
        <f t="shared" si="63"/>
        <v>510483</v>
      </c>
      <c r="I577" s="228">
        <v>0</v>
      </c>
      <c r="J577" s="228">
        <f t="shared" si="59"/>
        <v>-270000</v>
      </c>
      <c r="K577" s="928">
        <f t="shared" si="60"/>
        <v>-1</v>
      </c>
      <c r="L577" s="228">
        <f t="shared" si="61"/>
        <v>-510483</v>
      </c>
      <c r="M577" s="928">
        <f t="shared" si="62"/>
        <v>-1</v>
      </c>
    </row>
    <row r="578" spans="1:13" s="486" customFormat="1" x14ac:dyDescent="0.2">
      <c r="A578" s="503"/>
      <c r="B578" s="503"/>
      <c r="C578" s="435" t="s">
        <v>976</v>
      </c>
      <c r="D578" s="228"/>
      <c r="E578" s="228"/>
      <c r="F578" s="228">
        <v>50000</v>
      </c>
      <c r="G578" s="228"/>
      <c r="H578" s="228">
        <f t="shared" si="63"/>
        <v>50000</v>
      </c>
      <c r="I578" s="228">
        <v>0</v>
      </c>
      <c r="J578" s="228">
        <f t="shared" si="59"/>
        <v>0</v>
      </c>
      <c r="K578" s="928"/>
      <c r="L578" s="228">
        <f t="shared" si="61"/>
        <v>-50000</v>
      </c>
      <c r="M578" s="928">
        <f t="shared" si="62"/>
        <v>-1</v>
      </c>
    </row>
    <row r="579" spans="1:13" s="486" customFormat="1" x14ac:dyDescent="0.2">
      <c r="A579" s="503"/>
      <c r="B579" s="503"/>
      <c r="C579" s="519" t="s">
        <v>969</v>
      </c>
      <c r="D579" s="228"/>
      <c r="E579" s="228"/>
      <c r="F579" s="228">
        <v>50000</v>
      </c>
      <c r="G579" s="228"/>
      <c r="H579" s="228">
        <f t="shared" si="63"/>
        <v>50000</v>
      </c>
      <c r="I579" s="228">
        <v>0</v>
      </c>
      <c r="J579" s="228">
        <f t="shared" si="59"/>
        <v>0</v>
      </c>
      <c r="K579" s="928"/>
      <c r="L579" s="228">
        <f t="shared" si="61"/>
        <v>-50000</v>
      </c>
      <c r="M579" s="928">
        <f t="shared" si="62"/>
        <v>-1</v>
      </c>
    </row>
    <row r="580" spans="1:13" s="486" customFormat="1" x14ac:dyDescent="0.2">
      <c r="A580" s="503"/>
      <c r="B580" s="503"/>
      <c r="C580" s="519" t="s">
        <v>966</v>
      </c>
      <c r="D580" s="228"/>
      <c r="E580" s="228"/>
      <c r="F580" s="228">
        <v>40000</v>
      </c>
      <c r="G580" s="228"/>
      <c r="H580" s="228">
        <f t="shared" si="63"/>
        <v>40000</v>
      </c>
      <c r="I580" s="228">
        <v>0</v>
      </c>
      <c r="J580" s="228">
        <f t="shared" si="59"/>
        <v>0</v>
      </c>
      <c r="K580" s="928"/>
      <c r="L580" s="228">
        <f t="shared" si="61"/>
        <v>-40000</v>
      </c>
      <c r="M580" s="928">
        <f t="shared" si="62"/>
        <v>-1</v>
      </c>
    </row>
    <row r="581" spans="1:13" s="486" customFormat="1" x14ac:dyDescent="0.2">
      <c r="A581" s="503"/>
      <c r="B581" s="503"/>
      <c r="C581" s="519" t="s">
        <v>943</v>
      </c>
      <c r="D581" s="228"/>
      <c r="E581" s="228"/>
      <c r="F581" s="228">
        <v>10483</v>
      </c>
      <c r="G581" s="228"/>
      <c r="H581" s="228">
        <f t="shared" si="63"/>
        <v>10483</v>
      </c>
      <c r="I581" s="228">
        <v>0</v>
      </c>
      <c r="J581" s="228">
        <f t="shared" si="59"/>
        <v>0</v>
      </c>
      <c r="K581" s="928"/>
      <c r="L581" s="228">
        <f t="shared" si="61"/>
        <v>-10483</v>
      </c>
      <c r="M581" s="928">
        <f t="shared" si="62"/>
        <v>-1</v>
      </c>
    </row>
    <row r="582" spans="1:13" s="56" customFormat="1" ht="22.5" x14ac:dyDescent="0.2">
      <c r="A582" s="503"/>
      <c r="B582" s="503"/>
      <c r="C582" s="519" t="s">
        <v>977</v>
      </c>
      <c r="D582" s="228"/>
      <c r="E582" s="228"/>
      <c r="F582" s="228">
        <v>80000</v>
      </c>
      <c r="G582" s="228"/>
      <c r="H582" s="228">
        <f t="shared" si="63"/>
        <v>80000</v>
      </c>
      <c r="I582" s="228">
        <v>0</v>
      </c>
      <c r="J582" s="228">
        <f t="shared" si="59"/>
        <v>0</v>
      </c>
      <c r="K582" s="928"/>
      <c r="L582" s="228">
        <f t="shared" si="61"/>
        <v>-80000</v>
      </c>
      <c r="M582" s="928">
        <f t="shared" si="62"/>
        <v>-1</v>
      </c>
    </row>
    <row r="583" spans="1:13" s="56" customFormat="1" x14ac:dyDescent="0.2">
      <c r="A583" s="503"/>
      <c r="B583" s="503"/>
      <c r="C583" s="519" t="s">
        <v>1035</v>
      </c>
      <c r="D583" s="228"/>
      <c r="E583" s="228"/>
      <c r="F583" s="228"/>
      <c r="G583" s="228">
        <v>10000</v>
      </c>
      <c r="H583" s="228">
        <f t="shared" si="63"/>
        <v>10000</v>
      </c>
      <c r="I583" s="228">
        <v>0</v>
      </c>
      <c r="J583" s="228">
        <f t="shared" si="59"/>
        <v>0</v>
      </c>
      <c r="K583" s="928"/>
      <c r="L583" s="228">
        <f t="shared" si="61"/>
        <v>-10000</v>
      </c>
      <c r="M583" s="928">
        <f t="shared" si="62"/>
        <v>-1</v>
      </c>
    </row>
    <row r="584" spans="1:13" s="56" customFormat="1" x14ac:dyDescent="0.2">
      <c r="A584" s="503"/>
      <c r="B584" s="503"/>
      <c r="C584" s="149" t="s">
        <v>594</v>
      </c>
      <c r="D584" s="228">
        <f>600000-100000</f>
        <v>500000</v>
      </c>
      <c r="E584" s="228"/>
      <c r="F584" s="228">
        <v>0</v>
      </c>
      <c r="G584" s="228"/>
      <c r="H584" s="228">
        <f t="shared" si="63"/>
        <v>500000</v>
      </c>
      <c r="I584" s="228">
        <v>600000</v>
      </c>
      <c r="J584" s="228">
        <f t="shared" si="59"/>
        <v>100000</v>
      </c>
      <c r="K584" s="928">
        <f t="shared" si="60"/>
        <v>0.2</v>
      </c>
      <c r="L584" s="228">
        <f t="shared" si="61"/>
        <v>100000</v>
      </c>
      <c r="M584" s="928">
        <f t="shared" si="62"/>
        <v>0.2</v>
      </c>
    </row>
    <row r="585" spans="1:13" s="56" customFormat="1" x14ac:dyDescent="0.2">
      <c r="A585" s="503"/>
      <c r="B585" s="503"/>
      <c r="C585" s="435" t="s">
        <v>600</v>
      </c>
      <c r="D585" s="440">
        <v>250000</v>
      </c>
      <c r="E585" s="440"/>
      <c r="F585" s="440">
        <v>0</v>
      </c>
      <c r="G585" s="440"/>
      <c r="H585" s="440">
        <f t="shared" si="63"/>
        <v>250000</v>
      </c>
      <c r="I585" s="440">
        <v>0</v>
      </c>
      <c r="J585" s="440">
        <f t="shared" si="59"/>
        <v>-250000</v>
      </c>
      <c r="K585" s="929">
        <f t="shared" si="60"/>
        <v>-1</v>
      </c>
      <c r="L585" s="440">
        <f t="shared" si="61"/>
        <v>-250000</v>
      </c>
      <c r="M585" s="929">
        <f t="shared" si="62"/>
        <v>-1</v>
      </c>
    </row>
    <row r="586" spans="1:13" s="56" customFormat="1" x14ac:dyDescent="0.2">
      <c r="A586" s="503"/>
      <c r="B586" s="503"/>
      <c r="C586" s="149" t="s">
        <v>444</v>
      </c>
      <c r="D586" s="228">
        <v>31000</v>
      </c>
      <c r="E586" s="228"/>
      <c r="F586" s="228">
        <v>0</v>
      </c>
      <c r="G586" s="228"/>
      <c r="H586" s="228">
        <f t="shared" si="63"/>
        <v>31000</v>
      </c>
      <c r="I586" s="228">
        <v>35000</v>
      </c>
      <c r="J586" s="228">
        <f t="shared" si="59"/>
        <v>4000</v>
      </c>
      <c r="K586" s="928">
        <f t="shared" si="60"/>
        <v>0.12903225806451613</v>
      </c>
      <c r="L586" s="228">
        <f t="shared" si="61"/>
        <v>4000</v>
      </c>
      <c r="M586" s="928">
        <f t="shared" si="62"/>
        <v>0.12903225806451613</v>
      </c>
    </row>
    <row r="587" spans="1:13" s="56" customFormat="1" x14ac:dyDescent="0.2">
      <c r="A587" s="503"/>
      <c r="B587" s="503"/>
      <c r="C587" s="149" t="s">
        <v>474</v>
      </c>
      <c r="D587" s="228">
        <v>44000</v>
      </c>
      <c r="E587" s="228"/>
      <c r="F587" s="228">
        <v>0</v>
      </c>
      <c r="G587" s="228"/>
      <c r="H587" s="228">
        <f t="shared" si="63"/>
        <v>44000</v>
      </c>
      <c r="I587" s="228">
        <v>44000</v>
      </c>
      <c r="J587" s="228">
        <f t="shared" si="59"/>
        <v>0</v>
      </c>
      <c r="K587" s="928">
        <f t="shared" si="60"/>
        <v>0</v>
      </c>
      <c r="L587" s="228">
        <f t="shared" si="61"/>
        <v>0</v>
      </c>
      <c r="M587" s="928">
        <f t="shared" si="62"/>
        <v>0</v>
      </c>
    </row>
    <row r="588" spans="1:13" s="56" customFormat="1" x14ac:dyDescent="0.2">
      <c r="A588" s="503"/>
      <c r="B588" s="503"/>
      <c r="C588" s="149" t="s">
        <v>446</v>
      </c>
      <c r="D588" s="228">
        <v>44000</v>
      </c>
      <c r="E588" s="228"/>
      <c r="F588" s="228">
        <v>0</v>
      </c>
      <c r="G588" s="228">
        <v>6500</v>
      </c>
      <c r="H588" s="228">
        <f t="shared" si="63"/>
        <v>50500</v>
      </c>
      <c r="I588" s="228">
        <v>50500</v>
      </c>
      <c r="J588" s="228">
        <f t="shared" si="59"/>
        <v>6500</v>
      </c>
      <c r="K588" s="928">
        <f t="shared" si="60"/>
        <v>0.14772727272727273</v>
      </c>
      <c r="L588" s="228">
        <f t="shared" si="61"/>
        <v>0</v>
      </c>
      <c r="M588" s="928">
        <f t="shared" si="62"/>
        <v>0</v>
      </c>
    </row>
    <row r="589" spans="1:13" s="486" customFormat="1" x14ac:dyDescent="0.2">
      <c r="A589" s="503"/>
      <c r="B589" s="503"/>
      <c r="C589" s="149" t="s">
        <v>440</v>
      </c>
      <c r="D589" s="228">
        <v>4760</v>
      </c>
      <c r="E589" s="228"/>
      <c r="F589" s="228">
        <v>0</v>
      </c>
      <c r="G589" s="228"/>
      <c r="H589" s="228">
        <f t="shared" si="63"/>
        <v>4760</v>
      </c>
      <c r="I589" s="228">
        <v>4760</v>
      </c>
      <c r="J589" s="228">
        <f t="shared" si="59"/>
        <v>0</v>
      </c>
      <c r="K589" s="928">
        <f t="shared" si="60"/>
        <v>0</v>
      </c>
      <c r="L589" s="228">
        <f t="shared" si="61"/>
        <v>0</v>
      </c>
      <c r="M589" s="928">
        <f t="shared" si="62"/>
        <v>0</v>
      </c>
    </row>
    <row r="590" spans="1:13" s="486" customFormat="1" x14ac:dyDescent="0.2">
      <c r="A590" s="503"/>
      <c r="B590" s="503"/>
      <c r="C590" s="149" t="s">
        <v>568</v>
      </c>
      <c r="D590" s="228">
        <v>133000</v>
      </c>
      <c r="E590" s="228"/>
      <c r="F590" s="228">
        <v>0</v>
      </c>
      <c r="G590" s="228">
        <v>20500</v>
      </c>
      <c r="H590" s="228">
        <f t="shared" si="63"/>
        <v>153500</v>
      </c>
      <c r="I590" s="228">
        <v>133000</v>
      </c>
      <c r="J590" s="228">
        <f t="shared" si="59"/>
        <v>0</v>
      </c>
      <c r="K590" s="928">
        <f t="shared" si="60"/>
        <v>0</v>
      </c>
      <c r="L590" s="228">
        <f t="shared" si="61"/>
        <v>-20500</v>
      </c>
      <c r="M590" s="928">
        <f t="shared" si="62"/>
        <v>-0.13355048859934854</v>
      </c>
    </row>
    <row r="591" spans="1:13" s="56" customFormat="1" ht="22.5" x14ac:dyDescent="0.2">
      <c r="A591" s="503"/>
      <c r="B591" s="503"/>
      <c r="C591" s="149" t="s">
        <v>945</v>
      </c>
      <c r="D591" s="228"/>
      <c r="E591" s="228"/>
      <c r="F591" s="228">
        <v>10000</v>
      </c>
      <c r="G591" s="228"/>
      <c r="H591" s="228">
        <f t="shared" si="63"/>
        <v>10000</v>
      </c>
      <c r="I591" s="228">
        <v>0</v>
      </c>
      <c r="J591" s="228">
        <f t="shared" si="59"/>
        <v>0</v>
      </c>
      <c r="K591" s="928"/>
      <c r="L591" s="228">
        <f t="shared" si="61"/>
        <v>-10000</v>
      </c>
      <c r="M591" s="928">
        <f t="shared" si="62"/>
        <v>-1</v>
      </c>
    </row>
    <row r="592" spans="1:13" s="56" customFormat="1" ht="22.5" x14ac:dyDescent="0.2">
      <c r="A592" s="503"/>
      <c r="B592" s="503"/>
      <c r="C592" s="149" t="s">
        <v>944</v>
      </c>
      <c r="D592" s="228"/>
      <c r="E592" s="228"/>
      <c r="F592" s="228">
        <v>30000</v>
      </c>
      <c r="G592" s="228"/>
      <c r="H592" s="228">
        <f t="shared" si="63"/>
        <v>30000</v>
      </c>
      <c r="I592" s="228">
        <v>0</v>
      </c>
      <c r="J592" s="228">
        <f t="shared" si="59"/>
        <v>0</v>
      </c>
      <c r="K592" s="928"/>
      <c r="L592" s="228">
        <f t="shared" si="61"/>
        <v>-30000</v>
      </c>
      <c r="M592" s="928">
        <f t="shared" si="62"/>
        <v>-1</v>
      </c>
    </row>
    <row r="593" spans="1:13" s="56" customFormat="1" x14ac:dyDescent="0.2">
      <c r="A593" s="503"/>
      <c r="B593" s="503"/>
      <c r="C593" s="149" t="s">
        <v>697</v>
      </c>
      <c r="D593" s="228">
        <f>120000+1000</f>
        <v>121000</v>
      </c>
      <c r="E593" s="228"/>
      <c r="F593" s="228">
        <v>-10000</v>
      </c>
      <c r="G593" s="228">
        <v>-38500</v>
      </c>
      <c r="H593" s="228">
        <f t="shared" si="63"/>
        <v>72500</v>
      </c>
      <c r="I593" s="228">
        <v>122000</v>
      </c>
      <c r="J593" s="228">
        <f t="shared" si="59"/>
        <v>1000</v>
      </c>
      <c r="K593" s="928">
        <f t="shared" si="60"/>
        <v>8.2644628099173556E-3</v>
      </c>
      <c r="L593" s="228">
        <f t="shared" si="61"/>
        <v>49500</v>
      </c>
      <c r="M593" s="928">
        <f t="shared" si="62"/>
        <v>0.6827586206896552</v>
      </c>
    </row>
    <row r="594" spans="1:13" s="56" customFormat="1" x14ac:dyDescent="0.2">
      <c r="A594" s="503"/>
      <c r="B594" s="503"/>
      <c r="C594" s="108"/>
      <c r="D594" s="179"/>
      <c r="E594" s="179"/>
      <c r="F594" s="179">
        <v>0</v>
      </c>
      <c r="G594" s="179"/>
      <c r="H594" s="179">
        <f t="shared" si="63"/>
        <v>0</v>
      </c>
      <c r="I594" s="179">
        <v>0</v>
      </c>
      <c r="J594" s="179">
        <f t="shared" si="59"/>
        <v>0</v>
      </c>
      <c r="K594" s="542"/>
      <c r="L594" s="179">
        <f t="shared" si="61"/>
        <v>0</v>
      </c>
      <c r="M594" s="542"/>
    </row>
    <row r="595" spans="1:13" s="56" customFormat="1" ht="33.75" x14ac:dyDescent="0.2">
      <c r="A595" s="503"/>
      <c r="B595" s="503"/>
      <c r="C595" s="395" t="s">
        <v>848</v>
      </c>
      <c r="D595" s="198"/>
      <c r="E595" s="198"/>
      <c r="F595" s="198">
        <v>0</v>
      </c>
      <c r="G595" s="198"/>
      <c r="H595" s="198">
        <f t="shared" si="63"/>
        <v>0</v>
      </c>
      <c r="I595" s="198">
        <v>0</v>
      </c>
      <c r="J595" s="198">
        <f t="shared" si="59"/>
        <v>0</v>
      </c>
      <c r="K595" s="915"/>
      <c r="L595" s="198">
        <f t="shared" si="61"/>
        <v>0</v>
      </c>
      <c r="M595" s="915"/>
    </row>
    <row r="596" spans="1:13" s="56" customFormat="1" x14ac:dyDescent="0.2">
      <c r="A596" s="503"/>
      <c r="B596" s="503"/>
      <c r="C596" s="395"/>
      <c r="D596" s="198"/>
      <c r="E596" s="198"/>
      <c r="F596" s="198">
        <v>0</v>
      </c>
      <c r="G596" s="198"/>
      <c r="H596" s="198">
        <f t="shared" si="63"/>
        <v>0</v>
      </c>
      <c r="I596" s="198">
        <v>0</v>
      </c>
      <c r="J596" s="198">
        <f t="shared" si="59"/>
        <v>0</v>
      </c>
      <c r="K596" s="915"/>
      <c r="L596" s="198">
        <f t="shared" si="61"/>
        <v>0</v>
      </c>
      <c r="M596" s="915"/>
    </row>
    <row r="597" spans="1:13" s="56" customFormat="1" x14ac:dyDescent="0.2">
      <c r="A597" s="459" t="s">
        <v>850</v>
      </c>
      <c r="B597" s="504" t="s">
        <v>783</v>
      </c>
      <c r="C597" s="338" t="s">
        <v>439</v>
      </c>
      <c r="D597" s="179">
        <v>100000</v>
      </c>
      <c r="E597" s="179"/>
      <c r="F597" s="179">
        <v>0</v>
      </c>
      <c r="G597" s="179"/>
      <c r="H597" s="179">
        <f t="shared" si="63"/>
        <v>100000</v>
      </c>
      <c r="I597" s="179">
        <v>100000</v>
      </c>
      <c r="J597" s="179">
        <f t="shared" si="59"/>
        <v>0</v>
      </c>
      <c r="K597" s="542">
        <f t="shared" si="60"/>
        <v>0</v>
      </c>
      <c r="L597" s="179">
        <f t="shared" si="61"/>
        <v>0</v>
      </c>
      <c r="M597" s="542">
        <f t="shared" si="62"/>
        <v>0</v>
      </c>
    </row>
    <row r="598" spans="1:13" x14ac:dyDescent="0.2">
      <c r="C598" s="148" t="s">
        <v>695</v>
      </c>
      <c r="D598" s="147">
        <v>100000</v>
      </c>
      <c r="E598" s="147"/>
      <c r="F598" s="147">
        <v>0</v>
      </c>
      <c r="G598" s="147"/>
      <c r="H598" s="147">
        <f t="shared" si="63"/>
        <v>100000</v>
      </c>
      <c r="I598" s="147">
        <v>100000</v>
      </c>
      <c r="J598" s="147">
        <f t="shared" si="59"/>
        <v>0</v>
      </c>
      <c r="K598" s="927">
        <f t="shared" si="60"/>
        <v>0</v>
      </c>
      <c r="L598" s="147">
        <f t="shared" si="61"/>
        <v>0</v>
      </c>
      <c r="M598" s="927">
        <f t="shared" si="62"/>
        <v>0</v>
      </c>
    </row>
    <row r="599" spans="1:13" x14ac:dyDescent="0.2">
      <c r="C599" s="108"/>
      <c r="D599" s="179"/>
      <c r="E599" s="179"/>
      <c r="F599" s="179">
        <v>0</v>
      </c>
      <c r="G599" s="179"/>
      <c r="H599" s="179">
        <f t="shared" si="63"/>
        <v>0</v>
      </c>
      <c r="I599" s="179">
        <v>0</v>
      </c>
      <c r="J599" s="179">
        <f t="shared" si="59"/>
        <v>0</v>
      </c>
      <c r="K599" s="542"/>
      <c r="L599" s="179">
        <f t="shared" si="61"/>
        <v>0</v>
      </c>
      <c r="M599" s="542"/>
    </row>
    <row r="600" spans="1:13" s="486" customFormat="1" x14ac:dyDescent="0.2">
      <c r="A600" s="459" t="s">
        <v>864</v>
      </c>
      <c r="B600" s="504" t="s">
        <v>783</v>
      </c>
      <c r="C600" s="104" t="s">
        <v>617</v>
      </c>
      <c r="D600" s="172">
        <f>320000-50000</f>
        <v>270000</v>
      </c>
      <c r="E600" s="172"/>
      <c r="F600" s="172">
        <v>107000</v>
      </c>
      <c r="G600" s="172">
        <v>40000</v>
      </c>
      <c r="H600" s="172">
        <f t="shared" si="63"/>
        <v>417000</v>
      </c>
      <c r="I600" s="172">
        <v>438000</v>
      </c>
      <c r="J600" s="172">
        <f t="shared" si="59"/>
        <v>168000</v>
      </c>
      <c r="K600" s="524">
        <f t="shared" si="60"/>
        <v>0.62222222222222223</v>
      </c>
      <c r="L600" s="172">
        <f t="shared" si="61"/>
        <v>21000</v>
      </c>
      <c r="M600" s="524">
        <f t="shared" si="62"/>
        <v>5.0359712230215826E-2</v>
      </c>
    </row>
    <row r="601" spans="1:13" s="486" customFormat="1" x14ac:dyDescent="0.2">
      <c r="A601" s="503"/>
      <c r="B601" s="503"/>
      <c r="C601" s="294"/>
      <c r="D601" s="201"/>
      <c r="E601" s="201"/>
      <c r="F601" s="490">
        <v>0</v>
      </c>
      <c r="G601" s="490"/>
      <c r="H601" s="490">
        <f t="shared" si="63"/>
        <v>0</v>
      </c>
      <c r="I601" s="490">
        <v>0</v>
      </c>
      <c r="J601" s="490">
        <f t="shared" si="59"/>
        <v>0</v>
      </c>
      <c r="K601" s="914"/>
      <c r="L601" s="490">
        <f t="shared" si="61"/>
        <v>0</v>
      </c>
      <c r="M601" s="914"/>
    </row>
    <row r="602" spans="1:13" x14ac:dyDescent="0.2">
      <c r="A602" s="459" t="s">
        <v>864</v>
      </c>
      <c r="B602" s="504" t="s">
        <v>783</v>
      </c>
      <c r="C602" s="104" t="s">
        <v>973</v>
      </c>
      <c r="D602" s="172"/>
      <c r="E602" s="172"/>
      <c r="F602" s="172">
        <v>105000</v>
      </c>
      <c r="G602" s="172"/>
      <c r="H602" s="172">
        <f t="shared" si="63"/>
        <v>105000</v>
      </c>
      <c r="I602" s="172">
        <v>0</v>
      </c>
      <c r="J602" s="172">
        <f t="shared" si="59"/>
        <v>0</v>
      </c>
      <c r="K602" s="524"/>
      <c r="L602" s="172">
        <f t="shared" si="61"/>
        <v>-105000</v>
      </c>
      <c r="M602" s="524">
        <f t="shared" si="62"/>
        <v>-1</v>
      </c>
    </row>
    <row r="603" spans="1:13" x14ac:dyDescent="0.2">
      <c r="C603" s="294"/>
      <c r="D603" s="490"/>
      <c r="E603" s="490"/>
      <c r="F603" s="490">
        <v>0</v>
      </c>
      <c r="G603" s="490"/>
      <c r="H603" s="490">
        <f t="shared" si="63"/>
        <v>0</v>
      </c>
      <c r="I603" s="490">
        <v>0</v>
      </c>
      <c r="J603" s="490">
        <f t="shared" si="59"/>
        <v>0</v>
      </c>
      <c r="K603" s="914"/>
      <c r="L603" s="490">
        <f t="shared" si="61"/>
        <v>0</v>
      </c>
      <c r="M603" s="914"/>
    </row>
    <row r="604" spans="1:13" s="56" customFormat="1" x14ac:dyDescent="0.2">
      <c r="A604" s="459" t="s">
        <v>864</v>
      </c>
      <c r="B604" s="504" t="s">
        <v>783</v>
      </c>
      <c r="C604" s="104" t="s">
        <v>348</v>
      </c>
      <c r="D604" s="172">
        <v>25500</v>
      </c>
      <c r="E604" s="172"/>
      <c r="F604" s="172">
        <v>0</v>
      </c>
      <c r="G604" s="172"/>
      <c r="H604" s="172">
        <f t="shared" si="63"/>
        <v>25500</v>
      </c>
      <c r="I604" s="172">
        <v>25500</v>
      </c>
      <c r="J604" s="172">
        <f t="shared" si="59"/>
        <v>0</v>
      </c>
      <c r="K604" s="524">
        <f t="shared" si="60"/>
        <v>0</v>
      </c>
      <c r="L604" s="172">
        <f t="shared" si="61"/>
        <v>0</v>
      </c>
      <c r="M604" s="524">
        <f t="shared" si="62"/>
        <v>0</v>
      </c>
    </row>
    <row r="605" spans="1:13" s="56" customFormat="1" x14ac:dyDescent="0.2">
      <c r="A605" s="503"/>
      <c r="B605" s="503"/>
      <c r="C605" s="104"/>
      <c r="D605" s="172"/>
      <c r="E605" s="172"/>
      <c r="F605" s="172">
        <v>0</v>
      </c>
      <c r="G605" s="172"/>
      <c r="H605" s="172">
        <f t="shared" si="63"/>
        <v>0</v>
      </c>
      <c r="I605" s="172">
        <v>0</v>
      </c>
      <c r="J605" s="172">
        <f t="shared" si="59"/>
        <v>0</v>
      </c>
      <c r="K605" s="524"/>
      <c r="L605" s="172">
        <f t="shared" si="61"/>
        <v>0</v>
      </c>
      <c r="M605" s="524"/>
    </row>
    <row r="606" spans="1:13" x14ac:dyDescent="0.2">
      <c r="A606" s="459" t="s">
        <v>850</v>
      </c>
      <c r="B606" s="504" t="s">
        <v>783</v>
      </c>
      <c r="C606" s="338" t="s">
        <v>456</v>
      </c>
      <c r="D606" s="179">
        <v>78071</v>
      </c>
      <c r="E606" s="179"/>
      <c r="F606" s="179">
        <v>0</v>
      </c>
      <c r="G606" s="179"/>
      <c r="H606" s="179">
        <f t="shared" si="63"/>
        <v>78071</v>
      </c>
      <c r="I606" s="179">
        <v>78071</v>
      </c>
      <c r="J606" s="179">
        <f t="shared" si="59"/>
        <v>0</v>
      </c>
      <c r="K606" s="542">
        <f t="shared" si="60"/>
        <v>0</v>
      </c>
      <c r="L606" s="179">
        <f t="shared" si="61"/>
        <v>0</v>
      </c>
      <c r="M606" s="542">
        <f t="shared" si="62"/>
        <v>0</v>
      </c>
    </row>
    <row r="607" spans="1:13" x14ac:dyDescent="0.2">
      <c r="C607" s="338"/>
      <c r="D607" s="179"/>
      <c r="E607" s="179"/>
      <c r="F607" s="179">
        <v>0</v>
      </c>
      <c r="G607" s="179"/>
      <c r="H607" s="179">
        <f t="shared" si="63"/>
        <v>0</v>
      </c>
      <c r="I607" s="179">
        <v>0</v>
      </c>
      <c r="J607" s="179">
        <f t="shared" si="59"/>
        <v>0</v>
      </c>
      <c r="K607" s="542"/>
      <c r="L607" s="179">
        <f t="shared" si="61"/>
        <v>0</v>
      </c>
      <c r="M607" s="542"/>
    </row>
    <row r="608" spans="1:13" x14ac:dyDescent="0.2">
      <c r="A608" s="459" t="s">
        <v>864</v>
      </c>
      <c r="B608" s="504" t="s">
        <v>783</v>
      </c>
      <c r="C608" s="104" t="s">
        <v>349</v>
      </c>
      <c r="D608" s="172">
        <v>4430</v>
      </c>
      <c r="E608" s="172"/>
      <c r="F608" s="172">
        <v>4430</v>
      </c>
      <c r="G608" s="172"/>
      <c r="H608" s="172">
        <f t="shared" si="63"/>
        <v>8860</v>
      </c>
      <c r="I608" s="172">
        <v>4430</v>
      </c>
      <c r="J608" s="172">
        <f t="shared" si="59"/>
        <v>0</v>
      </c>
      <c r="K608" s="524">
        <f t="shared" si="60"/>
        <v>0</v>
      </c>
      <c r="L608" s="172">
        <f t="shared" si="61"/>
        <v>-4430</v>
      </c>
      <c r="M608" s="524">
        <f t="shared" si="62"/>
        <v>-0.5</v>
      </c>
    </row>
    <row r="609" spans="1:13" x14ac:dyDescent="0.2">
      <c r="C609" s="364"/>
      <c r="D609" s="164"/>
      <c r="E609" s="164"/>
      <c r="F609" s="164">
        <v>0</v>
      </c>
      <c r="G609" s="164"/>
      <c r="H609" s="164">
        <f t="shared" si="63"/>
        <v>0</v>
      </c>
      <c r="I609" s="164">
        <v>0</v>
      </c>
      <c r="J609" s="164">
        <f t="shared" si="59"/>
        <v>0</v>
      </c>
      <c r="K609" s="871"/>
      <c r="L609" s="164">
        <f t="shared" si="61"/>
        <v>0</v>
      </c>
      <c r="M609" s="871"/>
    </row>
    <row r="610" spans="1:13" ht="38.25" x14ac:dyDescent="0.2">
      <c r="A610" s="459" t="s">
        <v>864</v>
      </c>
      <c r="B610" s="504" t="s">
        <v>783</v>
      </c>
      <c r="C610" s="115" t="s">
        <v>846</v>
      </c>
      <c r="D610" s="172">
        <v>26626</v>
      </c>
      <c r="E610" s="172"/>
      <c r="F610" s="172">
        <v>1700</v>
      </c>
      <c r="G610" s="172"/>
      <c r="H610" s="172">
        <f t="shared" si="63"/>
        <v>28326</v>
      </c>
      <c r="I610" s="172">
        <v>0</v>
      </c>
      <c r="J610" s="172">
        <f t="shared" si="59"/>
        <v>-26626</v>
      </c>
      <c r="K610" s="524">
        <f t="shared" si="60"/>
        <v>-1</v>
      </c>
      <c r="L610" s="172">
        <f t="shared" si="61"/>
        <v>-28326</v>
      </c>
      <c r="M610" s="524">
        <f t="shared" si="62"/>
        <v>-1</v>
      </c>
    </row>
    <row r="611" spans="1:13" x14ac:dyDescent="0.2">
      <c r="A611" s="459"/>
      <c r="C611" s="308" t="s">
        <v>119</v>
      </c>
      <c r="D611" s="164"/>
      <c r="E611" s="164"/>
      <c r="F611" s="164">
        <v>0</v>
      </c>
      <c r="G611" s="164">
        <v>212</v>
      </c>
      <c r="H611" s="976">
        <f t="shared" si="63"/>
        <v>212</v>
      </c>
      <c r="I611" s="976">
        <v>0</v>
      </c>
      <c r="J611" s="976">
        <f t="shared" si="59"/>
        <v>0</v>
      </c>
      <c r="K611" s="525"/>
      <c r="L611" s="976">
        <f t="shared" si="61"/>
        <v>-212</v>
      </c>
      <c r="M611" s="525">
        <f t="shared" si="62"/>
        <v>-1</v>
      </c>
    </row>
    <row r="612" spans="1:13" x14ac:dyDescent="0.2">
      <c r="C612" s="299" t="s">
        <v>329</v>
      </c>
      <c r="D612" s="196">
        <v>26626</v>
      </c>
      <c r="E612" s="196"/>
      <c r="F612" s="495">
        <v>1700</v>
      </c>
      <c r="G612" s="495"/>
      <c r="H612" s="495">
        <f t="shared" si="63"/>
        <v>28326</v>
      </c>
      <c r="I612" s="495">
        <v>0</v>
      </c>
      <c r="J612" s="495">
        <f t="shared" si="59"/>
        <v>-26626</v>
      </c>
      <c r="K612" s="888">
        <f t="shared" si="60"/>
        <v>-1</v>
      </c>
      <c r="L612" s="495">
        <f t="shared" si="61"/>
        <v>-28326</v>
      </c>
      <c r="M612" s="888">
        <f t="shared" si="62"/>
        <v>-1</v>
      </c>
    </row>
    <row r="613" spans="1:13" x14ac:dyDescent="0.2">
      <c r="C613" s="364"/>
      <c r="D613" s="164"/>
      <c r="E613" s="164"/>
      <c r="F613" s="164">
        <v>0</v>
      </c>
      <c r="G613" s="164"/>
      <c r="H613" s="164">
        <f t="shared" si="63"/>
        <v>0</v>
      </c>
      <c r="I613" s="164">
        <v>0</v>
      </c>
      <c r="J613" s="164">
        <f t="shared" si="59"/>
        <v>0</v>
      </c>
      <c r="K613" s="871"/>
      <c r="L613" s="164">
        <f t="shared" si="61"/>
        <v>0</v>
      </c>
      <c r="M613" s="871"/>
    </row>
    <row r="614" spans="1:13" x14ac:dyDescent="0.2">
      <c r="C614" s="343"/>
      <c r="D614" s="138"/>
      <c r="E614" s="138"/>
      <c r="F614" s="138">
        <v>0</v>
      </c>
      <c r="G614" s="138"/>
      <c r="H614" s="138">
        <f t="shared" si="63"/>
        <v>0</v>
      </c>
      <c r="I614" s="138">
        <v>0</v>
      </c>
      <c r="J614" s="138">
        <f t="shared" si="59"/>
        <v>0</v>
      </c>
      <c r="K614" s="930"/>
      <c r="L614" s="138">
        <f t="shared" si="61"/>
        <v>0</v>
      </c>
      <c r="M614" s="930"/>
    </row>
    <row r="615" spans="1:13" ht="15.75" x14ac:dyDescent="0.2">
      <c r="C615" s="289" t="s">
        <v>951</v>
      </c>
      <c r="D615" s="176"/>
      <c r="E615" s="176"/>
      <c r="F615" s="176">
        <v>0</v>
      </c>
      <c r="G615" s="176"/>
      <c r="H615" s="176">
        <f t="shared" si="63"/>
        <v>0</v>
      </c>
      <c r="I615" s="176">
        <v>0</v>
      </c>
      <c r="J615" s="176">
        <f t="shared" si="59"/>
        <v>0</v>
      </c>
      <c r="K615" s="906"/>
      <c r="L615" s="176">
        <f t="shared" si="61"/>
        <v>0</v>
      </c>
      <c r="M615" s="906"/>
    </row>
    <row r="616" spans="1:13" x14ac:dyDescent="0.2">
      <c r="C616" s="290"/>
      <c r="D616" s="235"/>
      <c r="E616" s="235"/>
      <c r="F616" s="235">
        <v>0</v>
      </c>
      <c r="G616" s="235"/>
      <c r="H616" s="235">
        <f t="shared" si="63"/>
        <v>0</v>
      </c>
      <c r="I616" s="235">
        <v>0</v>
      </c>
      <c r="J616" s="235">
        <f t="shared" si="59"/>
        <v>0</v>
      </c>
      <c r="K616" s="524"/>
      <c r="L616" s="235">
        <f t="shared" si="61"/>
        <v>0</v>
      </c>
      <c r="M616" s="524"/>
    </row>
    <row r="617" spans="1:13" x14ac:dyDescent="0.2">
      <c r="C617" s="100" t="s">
        <v>193</v>
      </c>
      <c r="D617" s="170">
        <f>D627+D784</f>
        <v>64354819</v>
      </c>
      <c r="E617" s="475">
        <f>E627+E784</f>
        <v>-446520</v>
      </c>
      <c r="F617" s="488">
        <f>F627+F784</f>
        <v>6517841</v>
      </c>
      <c r="G617" s="488">
        <f>G627+G784</f>
        <v>3804909</v>
      </c>
      <c r="H617" s="488">
        <f t="shared" si="63"/>
        <v>74231049</v>
      </c>
      <c r="I617" s="488">
        <v>75819407</v>
      </c>
      <c r="J617" s="488">
        <f t="shared" si="59"/>
        <v>11464588</v>
      </c>
      <c r="K617" s="865">
        <f t="shared" si="60"/>
        <v>0.17814653476066805</v>
      </c>
      <c r="L617" s="488">
        <f t="shared" si="61"/>
        <v>1588358</v>
      </c>
      <c r="M617" s="865">
        <f t="shared" si="62"/>
        <v>2.1397488266668575E-2</v>
      </c>
    </row>
    <row r="618" spans="1:13" x14ac:dyDescent="0.2">
      <c r="C618" s="101" t="s">
        <v>479</v>
      </c>
      <c r="D618" s="182">
        <v>1830000</v>
      </c>
      <c r="E618" s="479"/>
      <c r="F618" s="491"/>
      <c r="G618" s="491"/>
      <c r="H618" s="491">
        <f t="shared" si="63"/>
        <v>1830000</v>
      </c>
      <c r="I618" s="491">
        <v>1690000</v>
      </c>
      <c r="J618" s="491">
        <f t="shared" si="59"/>
        <v>-140000</v>
      </c>
      <c r="K618" s="866">
        <f t="shared" si="60"/>
        <v>-7.650273224043716E-2</v>
      </c>
      <c r="L618" s="491">
        <f t="shared" si="61"/>
        <v>-140000</v>
      </c>
      <c r="M618" s="866">
        <f t="shared" si="62"/>
        <v>-7.650273224043716E-2</v>
      </c>
    </row>
    <row r="619" spans="1:13" s="486" customFormat="1" x14ac:dyDescent="0.2">
      <c r="A619" s="503"/>
      <c r="B619" s="503"/>
      <c r="C619" s="107" t="s">
        <v>116</v>
      </c>
      <c r="D619" s="183">
        <f>D620+D624+D622</f>
        <v>64354819</v>
      </c>
      <c r="E619" s="183">
        <f>E620+E624+E622</f>
        <v>-446520</v>
      </c>
      <c r="F619" s="183">
        <f>F620+F624+F622</f>
        <v>6517841</v>
      </c>
      <c r="G619" s="183">
        <f>G620+G624+G622+G621</f>
        <v>3804909</v>
      </c>
      <c r="H619" s="183">
        <f t="shared" si="63"/>
        <v>74231049</v>
      </c>
      <c r="I619" s="183">
        <v>75819407</v>
      </c>
      <c r="J619" s="183">
        <f t="shared" si="59"/>
        <v>11464588</v>
      </c>
      <c r="K619" s="528">
        <f t="shared" si="60"/>
        <v>0.17814653476066805</v>
      </c>
      <c r="L619" s="183">
        <f t="shared" si="61"/>
        <v>1588358</v>
      </c>
      <c r="M619" s="528">
        <f t="shared" si="62"/>
        <v>2.1397488266668575E-2</v>
      </c>
    </row>
    <row r="620" spans="1:13" x14ac:dyDescent="0.2">
      <c r="C620" s="102" t="s">
        <v>117</v>
      </c>
      <c r="D620" s="182">
        <v>19452200</v>
      </c>
      <c r="E620" s="479"/>
      <c r="F620" s="491">
        <v>3505511</v>
      </c>
      <c r="G620" s="491">
        <f>'2.2 OMATULUD'!D275</f>
        <v>1767490</v>
      </c>
      <c r="H620" s="491">
        <f t="shared" si="63"/>
        <v>24725201</v>
      </c>
      <c r="I620" s="491">
        <v>22490816</v>
      </c>
      <c r="J620" s="491">
        <f t="shared" si="59"/>
        <v>3038616</v>
      </c>
      <c r="K620" s="866">
        <f t="shared" si="60"/>
        <v>0.1562093747750897</v>
      </c>
      <c r="L620" s="491">
        <f t="shared" si="61"/>
        <v>-2234385</v>
      </c>
      <c r="M620" s="866">
        <f t="shared" si="62"/>
        <v>-9.0368729459469305E-2</v>
      </c>
    </row>
    <row r="621" spans="1:13" s="17" customFormat="1" x14ac:dyDescent="0.2">
      <c r="A621" s="503"/>
      <c r="B621" s="503"/>
      <c r="C621" s="761" t="s">
        <v>0</v>
      </c>
      <c r="D621" s="491"/>
      <c r="E621" s="491"/>
      <c r="F621" s="491"/>
      <c r="G621" s="491">
        <f>'2.3 TOETUSED'!D14</f>
        <v>20000</v>
      </c>
      <c r="H621" s="491">
        <f t="shared" si="63"/>
        <v>20000</v>
      </c>
      <c r="I621" s="491">
        <v>0</v>
      </c>
      <c r="J621" s="491">
        <f t="shared" si="59"/>
        <v>0</v>
      </c>
      <c r="K621" s="866"/>
      <c r="L621" s="491">
        <f t="shared" si="61"/>
        <v>-20000</v>
      </c>
      <c r="M621" s="866">
        <f t="shared" si="62"/>
        <v>-1</v>
      </c>
    </row>
    <row r="622" spans="1:13" x14ac:dyDescent="0.2">
      <c r="C622" s="95" t="s">
        <v>105</v>
      </c>
      <c r="D622" s="182">
        <v>679519</v>
      </c>
      <c r="E622" s="479"/>
      <c r="F622" s="491">
        <v>7301</v>
      </c>
      <c r="G622" s="491"/>
      <c r="H622" s="491">
        <f t="shared" si="63"/>
        <v>686820</v>
      </c>
      <c r="I622" s="491">
        <v>444200</v>
      </c>
      <c r="J622" s="491">
        <f t="shared" si="59"/>
        <v>-235319</v>
      </c>
      <c r="K622" s="866">
        <f t="shared" si="60"/>
        <v>-0.34630231089932734</v>
      </c>
      <c r="L622" s="491">
        <f t="shared" si="61"/>
        <v>-242620</v>
      </c>
      <c r="M622" s="866">
        <f t="shared" si="62"/>
        <v>-0.35325121574793977</v>
      </c>
    </row>
    <row r="623" spans="1:13" s="6" customFormat="1" x14ac:dyDescent="0.2">
      <c r="A623" s="504"/>
      <c r="B623" s="504"/>
      <c r="C623" s="95" t="s">
        <v>1022</v>
      </c>
      <c r="D623" s="491"/>
      <c r="E623" s="491"/>
      <c r="F623" s="491"/>
      <c r="G623" s="491"/>
      <c r="H623" s="491">
        <f t="shared" si="63"/>
        <v>0</v>
      </c>
      <c r="I623" s="491">
        <v>49800</v>
      </c>
      <c r="J623" s="491">
        <f t="shared" ref="J623:J668" si="64">I623-D623</f>
        <v>49800</v>
      </c>
      <c r="K623" s="866"/>
      <c r="L623" s="491">
        <f t="shared" ref="L623:L668" si="65">I623-H623</f>
        <v>49800</v>
      </c>
      <c r="M623" s="866"/>
    </row>
    <row r="624" spans="1:13" x14ac:dyDescent="0.2">
      <c r="C624" s="95" t="s">
        <v>118</v>
      </c>
      <c r="D624" s="182">
        <f>D617-D620-D622</f>
        <v>44223100</v>
      </c>
      <c r="E624" s="479">
        <f>E617-E620-E622</f>
        <v>-446520</v>
      </c>
      <c r="F624" s="491">
        <f>F617-F620-F622</f>
        <v>3005029</v>
      </c>
      <c r="G624" s="491">
        <f>G617-G620-G621-G622</f>
        <v>2017419</v>
      </c>
      <c r="H624" s="491">
        <f t="shared" si="63"/>
        <v>48799028</v>
      </c>
      <c r="I624" s="491">
        <v>52834591</v>
      </c>
      <c r="J624" s="491">
        <f t="shared" si="64"/>
        <v>8611491</v>
      </c>
      <c r="K624" s="866">
        <f t="shared" ref="K624:K668" si="66">J624/D624</f>
        <v>0.19472834333187858</v>
      </c>
      <c r="L624" s="491">
        <f t="shared" si="65"/>
        <v>4035563</v>
      </c>
      <c r="M624" s="866">
        <f t="shared" ref="M624:M668" si="67">L624/H624</f>
        <v>8.2697610288467227E-2</v>
      </c>
    </row>
    <row r="625" spans="1:13" x14ac:dyDescent="0.2">
      <c r="A625" s="459"/>
      <c r="B625" s="459"/>
      <c r="C625" s="473" t="s">
        <v>909</v>
      </c>
      <c r="D625" s="474">
        <f>D629+D665+D690+D753+D789+D798+D838+D853+D866+D881+D884+D890+D913</f>
        <v>21773989</v>
      </c>
      <c r="E625" s="474">
        <f>E629+E665+E690+E753+E789+E798+E838+E853+E866+E881+E884+E890+E913</f>
        <v>-333720</v>
      </c>
      <c r="F625" s="474">
        <f>F629+F665+F690+F753+F789+F798+F838+F853+F866+F881+F884+F890+F913+F871+F876+F862</f>
        <v>2134267</v>
      </c>
      <c r="G625" s="474">
        <f>G629+G665+G690+G753+G789+G798+G838+G853+G866+G881+G884+G890+G913+G871+G876+G862</f>
        <v>998460</v>
      </c>
      <c r="H625" s="474">
        <f t="shared" si="63"/>
        <v>24572996</v>
      </c>
      <c r="I625" s="474">
        <v>24260829</v>
      </c>
      <c r="J625" s="474">
        <f t="shared" si="64"/>
        <v>2486840</v>
      </c>
      <c r="K625" s="867">
        <f t="shared" si="66"/>
        <v>0.11421150254094461</v>
      </c>
      <c r="L625" s="474">
        <f t="shared" si="65"/>
        <v>-312167</v>
      </c>
      <c r="M625" s="867">
        <f t="shared" si="67"/>
        <v>-1.2703660554862745E-2</v>
      </c>
    </row>
    <row r="626" spans="1:13" x14ac:dyDescent="0.2">
      <c r="C626" s="95"/>
      <c r="D626" s="182"/>
      <c r="E626" s="182"/>
      <c r="F626" s="491">
        <v>0</v>
      </c>
      <c r="G626" s="491"/>
      <c r="H626" s="491">
        <f t="shared" si="63"/>
        <v>0</v>
      </c>
      <c r="I626" s="491">
        <v>0</v>
      </c>
      <c r="J626" s="491">
        <f t="shared" si="64"/>
        <v>0</v>
      </c>
      <c r="K626" s="866"/>
      <c r="L626" s="491">
        <f t="shared" si="65"/>
        <v>0</v>
      </c>
      <c r="M626" s="866"/>
    </row>
    <row r="627" spans="1:13" ht="15" x14ac:dyDescent="0.2">
      <c r="A627" s="459" t="s">
        <v>866</v>
      </c>
      <c r="B627" s="179" t="s">
        <v>202</v>
      </c>
      <c r="C627" s="291" t="s">
        <v>203</v>
      </c>
      <c r="D627" s="192">
        <f>D628+D664+D689+D752</f>
        <v>27503161</v>
      </c>
      <c r="E627" s="478">
        <f>E628+E664+E689+E752</f>
        <v>362169</v>
      </c>
      <c r="F627" s="478">
        <f>F628+F664+F689+F752</f>
        <v>2972604</v>
      </c>
      <c r="G627" s="569">
        <f>G628+G664+G689+G752</f>
        <v>659701</v>
      </c>
      <c r="H627" s="569">
        <f t="shared" si="63"/>
        <v>31497635</v>
      </c>
      <c r="I627" s="569">
        <v>31421758</v>
      </c>
      <c r="J627" s="569">
        <f t="shared" si="64"/>
        <v>3918597</v>
      </c>
      <c r="K627" s="896">
        <f t="shared" si="66"/>
        <v>0.14247805915836365</v>
      </c>
      <c r="L627" s="569">
        <f t="shared" si="65"/>
        <v>-75877</v>
      </c>
      <c r="M627" s="896">
        <f t="shared" si="67"/>
        <v>-2.4089745150707347E-3</v>
      </c>
    </row>
    <row r="628" spans="1:13" x14ac:dyDescent="0.2">
      <c r="C628" s="292" t="s">
        <v>204</v>
      </c>
      <c r="D628" s="118">
        <f>D631+D634+D637+D640+D643+D654+D657</f>
        <v>9410749</v>
      </c>
      <c r="E628" s="477">
        <f>E631+E634+E637+E640+E643+E654+E657</f>
        <v>76358</v>
      </c>
      <c r="F628" s="477">
        <f>F631+F634+F637+F640+F643+F654+F657+F660</f>
        <v>1271868</v>
      </c>
      <c r="G628" s="566">
        <f>G631+G634+G637+G640+G643+G654+G657+G660</f>
        <v>559844</v>
      </c>
      <c r="H628" s="566">
        <f t="shared" si="63"/>
        <v>11318819</v>
      </c>
      <c r="I628" s="566">
        <v>10134002</v>
      </c>
      <c r="J628" s="566">
        <f t="shared" si="64"/>
        <v>723253</v>
      </c>
      <c r="K628" s="816">
        <f t="shared" si="66"/>
        <v>7.685392522954336E-2</v>
      </c>
      <c r="L628" s="566">
        <f t="shared" si="65"/>
        <v>-1184817</v>
      </c>
      <c r="M628" s="816">
        <f t="shared" si="67"/>
        <v>-0.10467673350019997</v>
      </c>
    </row>
    <row r="629" spans="1:13" x14ac:dyDescent="0.2">
      <c r="C629" s="98" t="s">
        <v>119</v>
      </c>
      <c r="D629" s="489">
        <f>D644+D658</f>
        <v>3786026</v>
      </c>
      <c r="E629" s="476">
        <f>E644+E658</f>
        <v>57069</v>
      </c>
      <c r="F629" s="489">
        <f>F644+F658+F661</f>
        <v>322441</v>
      </c>
      <c r="G629" s="781">
        <f>G644+G658+G661</f>
        <v>44914</v>
      </c>
      <c r="H629" s="567">
        <f t="shared" ref="H629:H674" si="68">D629+E629+F629+G629</f>
        <v>4210450</v>
      </c>
      <c r="I629" s="567">
        <v>3717377</v>
      </c>
      <c r="J629" s="567">
        <f t="shared" si="64"/>
        <v>-68649</v>
      </c>
      <c r="K629" s="878">
        <f t="shared" si="66"/>
        <v>-1.8132205114280778E-2</v>
      </c>
      <c r="L629" s="567">
        <f t="shared" si="65"/>
        <v>-493073</v>
      </c>
      <c r="M629" s="878">
        <f t="shared" si="67"/>
        <v>-0.11710696006365115</v>
      </c>
    </row>
    <row r="630" spans="1:13" x14ac:dyDescent="0.2">
      <c r="C630" s="105" t="s">
        <v>196</v>
      </c>
      <c r="D630" s="118"/>
      <c r="E630" s="118"/>
      <c r="F630" s="477">
        <v>0</v>
      </c>
      <c r="G630" s="566"/>
      <c r="H630" s="566">
        <f t="shared" si="68"/>
        <v>0</v>
      </c>
      <c r="I630" s="566">
        <v>0</v>
      </c>
      <c r="J630" s="566">
        <f t="shared" si="64"/>
        <v>0</v>
      </c>
      <c r="K630" s="816"/>
      <c r="L630" s="566">
        <f t="shared" si="65"/>
        <v>0</v>
      </c>
      <c r="M630" s="816"/>
    </row>
    <row r="631" spans="1:13" x14ac:dyDescent="0.2">
      <c r="C631" s="106" t="s">
        <v>205</v>
      </c>
      <c r="D631" s="194">
        <v>1695920</v>
      </c>
      <c r="E631" s="194"/>
      <c r="F631" s="194">
        <v>500000</v>
      </c>
      <c r="G631" s="194">
        <v>420000</v>
      </c>
      <c r="H631" s="194">
        <f t="shared" si="68"/>
        <v>2615920</v>
      </c>
      <c r="I631" s="194">
        <v>2615920</v>
      </c>
      <c r="J631" s="194">
        <f t="shared" si="64"/>
        <v>920000</v>
      </c>
      <c r="K631" s="887">
        <f t="shared" si="66"/>
        <v>0.54247841879333936</v>
      </c>
      <c r="L631" s="194">
        <f t="shared" si="65"/>
        <v>0</v>
      </c>
      <c r="M631" s="887">
        <f t="shared" si="67"/>
        <v>0</v>
      </c>
    </row>
    <row r="632" spans="1:13" x14ac:dyDescent="0.2">
      <c r="C632" s="369"/>
      <c r="D632" s="194"/>
      <c r="E632" s="194"/>
      <c r="F632" s="194">
        <v>0</v>
      </c>
      <c r="G632" s="194"/>
      <c r="H632" s="194">
        <f t="shared" si="68"/>
        <v>0</v>
      </c>
      <c r="I632" s="194">
        <v>0</v>
      </c>
      <c r="J632" s="194">
        <f t="shared" si="64"/>
        <v>0</v>
      </c>
      <c r="K632" s="887"/>
      <c r="L632" s="194">
        <f t="shared" si="65"/>
        <v>0</v>
      </c>
      <c r="M632" s="887"/>
    </row>
    <row r="633" spans="1:13" x14ac:dyDescent="0.2">
      <c r="C633" s="105" t="s">
        <v>196</v>
      </c>
      <c r="D633" s="118"/>
      <c r="E633" s="118"/>
      <c r="F633" s="477">
        <v>0</v>
      </c>
      <c r="G633" s="566"/>
      <c r="H633" s="194">
        <f t="shared" si="68"/>
        <v>0</v>
      </c>
      <c r="I633" s="194">
        <v>0</v>
      </c>
      <c r="J633" s="194">
        <f t="shared" si="64"/>
        <v>0</v>
      </c>
      <c r="K633" s="887"/>
      <c r="L633" s="194">
        <f t="shared" si="65"/>
        <v>0</v>
      </c>
      <c r="M633" s="887"/>
    </row>
    <row r="634" spans="1:13" x14ac:dyDescent="0.2">
      <c r="C634" s="106" t="s">
        <v>206</v>
      </c>
      <c r="D634" s="194">
        <v>75820</v>
      </c>
      <c r="E634" s="194"/>
      <c r="F634" s="194">
        <v>0</v>
      </c>
      <c r="G634" s="194"/>
      <c r="H634" s="194">
        <f t="shared" si="68"/>
        <v>75820</v>
      </c>
      <c r="I634" s="194">
        <v>76670</v>
      </c>
      <c r="J634" s="194">
        <f t="shared" si="64"/>
        <v>850</v>
      </c>
      <c r="K634" s="887">
        <f t="shared" si="66"/>
        <v>1.1210762331838564E-2</v>
      </c>
      <c r="L634" s="194">
        <f t="shared" si="65"/>
        <v>850</v>
      </c>
      <c r="M634" s="887">
        <f t="shared" si="67"/>
        <v>1.1210762331838564E-2</v>
      </c>
    </row>
    <row r="635" spans="1:13" x14ac:dyDescent="0.2">
      <c r="C635" s="369"/>
      <c r="D635" s="194"/>
      <c r="E635" s="194"/>
      <c r="F635" s="194">
        <v>0</v>
      </c>
      <c r="G635" s="194"/>
      <c r="H635" s="194">
        <f t="shared" si="68"/>
        <v>0</v>
      </c>
      <c r="I635" s="194">
        <v>0</v>
      </c>
      <c r="J635" s="194">
        <f t="shared" si="64"/>
        <v>0</v>
      </c>
      <c r="K635" s="887"/>
      <c r="L635" s="194">
        <f t="shared" si="65"/>
        <v>0</v>
      </c>
      <c r="M635" s="887"/>
    </row>
    <row r="636" spans="1:13" x14ac:dyDescent="0.2">
      <c r="C636" s="105" t="s">
        <v>196</v>
      </c>
      <c r="D636" s="118"/>
      <c r="E636" s="118"/>
      <c r="F636" s="477">
        <v>0</v>
      </c>
      <c r="G636" s="477"/>
      <c r="H636" s="477">
        <f t="shared" si="68"/>
        <v>0</v>
      </c>
      <c r="I636" s="477">
        <v>0</v>
      </c>
      <c r="J636" s="477">
        <f t="shared" si="64"/>
        <v>0</v>
      </c>
      <c r="K636" s="909"/>
      <c r="L636" s="477">
        <f t="shared" si="65"/>
        <v>0</v>
      </c>
      <c r="M636" s="909"/>
    </row>
    <row r="637" spans="1:13" x14ac:dyDescent="0.2">
      <c r="C637" s="106" t="s">
        <v>207</v>
      </c>
      <c r="D637" s="194">
        <v>562757</v>
      </c>
      <c r="E637" s="194"/>
      <c r="F637" s="194">
        <v>83655</v>
      </c>
      <c r="G637" s="194"/>
      <c r="H637" s="194">
        <f t="shared" si="68"/>
        <v>646412</v>
      </c>
      <c r="I637" s="194">
        <v>804181</v>
      </c>
      <c r="J637" s="194">
        <f t="shared" si="64"/>
        <v>241424</v>
      </c>
      <c r="K637" s="887">
        <f t="shared" si="66"/>
        <v>0.42900221587647952</v>
      </c>
      <c r="L637" s="194">
        <f t="shared" si="65"/>
        <v>157769</v>
      </c>
      <c r="M637" s="887">
        <f t="shared" si="67"/>
        <v>0.24406879822775568</v>
      </c>
    </row>
    <row r="638" spans="1:13" x14ac:dyDescent="0.2">
      <c r="C638" s="283"/>
      <c r="D638" s="217"/>
      <c r="E638" s="217"/>
      <c r="F638" s="492">
        <v>0</v>
      </c>
      <c r="G638" s="492"/>
      <c r="H638" s="492">
        <f t="shared" si="68"/>
        <v>0</v>
      </c>
      <c r="I638" s="492">
        <v>0</v>
      </c>
      <c r="J638" s="492">
        <f t="shared" si="64"/>
        <v>0</v>
      </c>
      <c r="K638" s="931"/>
      <c r="L638" s="492">
        <f t="shared" si="65"/>
        <v>0</v>
      </c>
      <c r="M638" s="931"/>
    </row>
    <row r="639" spans="1:13" x14ac:dyDescent="0.2">
      <c r="C639" s="105" t="s">
        <v>196</v>
      </c>
      <c r="D639" s="118"/>
      <c r="E639" s="118"/>
      <c r="F639" s="477">
        <v>0</v>
      </c>
      <c r="G639" s="477"/>
      <c r="H639" s="477">
        <f t="shared" si="68"/>
        <v>0</v>
      </c>
      <c r="I639" s="477">
        <v>0</v>
      </c>
      <c r="J639" s="477">
        <f t="shared" si="64"/>
        <v>0</v>
      </c>
      <c r="K639" s="909"/>
      <c r="L639" s="477">
        <f t="shared" si="65"/>
        <v>0</v>
      </c>
      <c r="M639" s="909"/>
    </row>
    <row r="640" spans="1:13" x14ac:dyDescent="0.2">
      <c r="C640" s="106" t="s">
        <v>208</v>
      </c>
      <c r="D640" s="194">
        <v>204045</v>
      </c>
      <c r="E640" s="194"/>
      <c r="F640" s="194">
        <v>0</v>
      </c>
      <c r="G640" s="194"/>
      <c r="H640" s="194">
        <f t="shared" si="68"/>
        <v>204045</v>
      </c>
      <c r="I640" s="194">
        <v>211045</v>
      </c>
      <c r="J640" s="194">
        <f t="shared" si="64"/>
        <v>7000</v>
      </c>
      <c r="K640" s="887">
        <f t="shared" si="66"/>
        <v>3.4306157955352988E-2</v>
      </c>
      <c r="L640" s="194">
        <f t="shared" si="65"/>
        <v>7000</v>
      </c>
      <c r="M640" s="887">
        <f t="shared" si="67"/>
        <v>3.4306157955352988E-2</v>
      </c>
    </row>
    <row r="641" spans="1:13" x14ac:dyDescent="0.2">
      <c r="C641" s="108"/>
      <c r="D641" s="179"/>
      <c r="E641" s="179"/>
      <c r="F641" s="179">
        <v>0</v>
      </c>
      <c r="G641" s="179"/>
      <c r="H641" s="179">
        <f t="shared" si="68"/>
        <v>0</v>
      </c>
      <c r="I641" s="179">
        <v>0</v>
      </c>
      <c r="J641" s="179">
        <f t="shared" si="64"/>
        <v>0</v>
      </c>
      <c r="K641" s="542"/>
      <c r="L641" s="179">
        <f t="shared" si="65"/>
        <v>0</v>
      </c>
      <c r="M641" s="542"/>
    </row>
    <row r="642" spans="1:13" x14ac:dyDescent="0.2">
      <c r="C642" s="105" t="s">
        <v>196</v>
      </c>
      <c r="D642" s="118"/>
      <c r="E642" s="118"/>
      <c r="F642" s="477">
        <v>0</v>
      </c>
      <c r="G642" s="477"/>
      <c r="H642" s="477">
        <f t="shared" si="68"/>
        <v>0</v>
      </c>
      <c r="I642" s="477">
        <v>0</v>
      </c>
      <c r="J642" s="477">
        <f t="shared" si="64"/>
        <v>0</v>
      </c>
      <c r="K642" s="909"/>
      <c r="L642" s="477">
        <f t="shared" si="65"/>
        <v>0</v>
      </c>
      <c r="M642" s="909"/>
    </row>
    <row r="643" spans="1:13" s="56" customFormat="1" ht="25.5" x14ac:dyDescent="0.2">
      <c r="A643" s="503"/>
      <c r="B643" s="503"/>
      <c r="C643" s="106" t="s">
        <v>837</v>
      </c>
      <c r="D643" s="194">
        <v>6487803</v>
      </c>
      <c r="E643" s="194">
        <v>76358</v>
      </c>
      <c r="F643" s="194">
        <v>148741</v>
      </c>
      <c r="G643" s="194">
        <v>5764</v>
      </c>
      <c r="H643" s="194">
        <v>6718666</v>
      </c>
      <c r="I643" s="194">
        <v>6408576</v>
      </c>
      <c r="J643" s="194">
        <f t="shared" si="64"/>
        <v>-79227</v>
      </c>
      <c r="K643" s="887">
        <f t="shared" si="66"/>
        <v>-1.2211683986088974E-2</v>
      </c>
      <c r="L643" s="194">
        <f t="shared" si="65"/>
        <v>-310090</v>
      </c>
      <c r="M643" s="887">
        <f t="shared" si="67"/>
        <v>-4.6153507258732608E-2</v>
      </c>
    </row>
    <row r="644" spans="1:13" s="56" customFormat="1" x14ac:dyDescent="0.2">
      <c r="A644" s="503"/>
      <c r="B644" s="503"/>
      <c r="C644" s="103" t="s">
        <v>119</v>
      </c>
      <c r="D644" s="728">
        <v>3756681</v>
      </c>
      <c r="E644" s="567">
        <v>57069</v>
      </c>
      <c r="F644" s="567">
        <v>38048</v>
      </c>
      <c r="G644" s="781">
        <v>1790</v>
      </c>
      <c r="H644" s="567">
        <v>3853588</v>
      </c>
      <c r="I644" s="567">
        <v>3717377</v>
      </c>
      <c r="J644" s="567">
        <f t="shared" si="64"/>
        <v>-39304</v>
      </c>
      <c r="K644" s="878">
        <f t="shared" si="66"/>
        <v>-1.0462426807067196E-2</v>
      </c>
      <c r="L644" s="567">
        <f t="shared" si="65"/>
        <v>-136211</v>
      </c>
      <c r="M644" s="878">
        <f t="shared" si="67"/>
        <v>-3.5346539380961328E-2</v>
      </c>
    </row>
    <row r="645" spans="1:13" s="486" customFormat="1" x14ac:dyDescent="0.2">
      <c r="A645" s="503"/>
      <c r="B645" s="503"/>
      <c r="C645" s="295" t="s">
        <v>649</v>
      </c>
      <c r="D645" s="612">
        <v>32160</v>
      </c>
      <c r="E645" s="612"/>
      <c r="F645" s="612">
        <v>42900</v>
      </c>
      <c r="G645" s="612"/>
      <c r="H645" s="612">
        <v>75060</v>
      </c>
      <c r="I645" s="612">
        <v>74640</v>
      </c>
      <c r="J645" s="612">
        <f t="shared" si="64"/>
        <v>42480</v>
      </c>
      <c r="K645" s="880">
        <f t="shared" si="66"/>
        <v>1.3208955223880596</v>
      </c>
      <c r="L645" s="612">
        <f t="shared" si="65"/>
        <v>-420</v>
      </c>
      <c r="M645" s="880">
        <f t="shared" si="67"/>
        <v>-5.5955235811350921E-3</v>
      </c>
    </row>
    <row r="646" spans="1:13" s="56" customFormat="1" x14ac:dyDescent="0.2">
      <c r="A646" s="503"/>
      <c r="B646" s="503"/>
      <c r="C646" s="717" t="s">
        <v>1005</v>
      </c>
      <c r="D646" s="612">
        <v>2676424</v>
      </c>
      <c r="E646" s="612"/>
      <c r="F646" s="612">
        <v>44363</v>
      </c>
      <c r="G646" s="612">
        <v>4894</v>
      </c>
      <c r="H646" s="612">
        <v>2725681</v>
      </c>
      <c r="I646" s="612">
        <v>2661604</v>
      </c>
      <c r="J646" s="612">
        <f t="shared" si="64"/>
        <v>-14820</v>
      </c>
      <c r="K646" s="880">
        <f t="shared" si="66"/>
        <v>-5.5372392416149305E-3</v>
      </c>
      <c r="L646" s="612">
        <f t="shared" si="65"/>
        <v>-64077</v>
      </c>
      <c r="M646" s="880">
        <f t="shared" si="67"/>
        <v>-2.3508620414494578E-2</v>
      </c>
    </row>
    <row r="647" spans="1:13" s="486" customFormat="1" x14ac:dyDescent="0.2">
      <c r="A647" s="503"/>
      <c r="B647" s="503"/>
      <c r="C647" s="734" t="s">
        <v>119</v>
      </c>
      <c r="D647" s="608">
        <v>1503269</v>
      </c>
      <c r="E647" s="609">
        <v>0</v>
      </c>
      <c r="F647" s="609">
        <v>3737</v>
      </c>
      <c r="G647" s="783">
        <v>1790</v>
      </c>
      <c r="H647" s="609">
        <v>1508796</v>
      </c>
      <c r="I647" s="609">
        <v>1509211</v>
      </c>
      <c r="J647" s="609">
        <f t="shared" si="64"/>
        <v>5942</v>
      </c>
      <c r="K647" s="932">
        <f t="shared" si="66"/>
        <v>3.9527190409700463E-3</v>
      </c>
      <c r="L647" s="609">
        <f t="shared" si="65"/>
        <v>415</v>
      </c>
      <c r="M647" s="932">
        <f t="shared" si="67"/>
        <v>2.7505375146805796E-4</v>
      </c>
    </row>
    <row r="648" spans="1:13" s="56" customFormat="1" x14ac:dyDescent="0.2">
      <c r="A648" s="503"/>
      <c r="B648" s="503"/>
      <c r="C648" s="717" t="s">
        <v>650</v>
      </c>
      <c r="D648" s="612">
        <v>1277669</v>
      </c>
      <c r="E648" s="612">
        <v>28114</v>
      </c>
      <c r="F648" s="612">
        <v>10363</v>
      </c>
      <c r="G648" s="612">
        <v>16984</v>
      </c>
      <c r="H648" s="612">
        <v>1333130</v>
      </c>
      <c r="I648" s="612">
        <v>1296123</v>
      </c>
      <c r="J648" s="612">
        <f t="shared" si="64"/>
        <v>18454</v>
      </c>
      <c r="K648" s="880">
        <f t="shared" si="66"/>
        <v>1.4443490450187019E-2</v>
      </c>
      <c r="L648" s="612">
        <f t="shared" si="65"/>
        <v>-37007</v>
      </c>
      <c r="M648" s="880">
        <f t="shared" si="67"/>
        <v>-2.7759483321206483E-2</v>
      </c>
    </row>
    <row r="649" spans="1:13" s="486" customFormat="1" x14ac:dyDescent="0.2">
      <c r="A649" s="503"/>
      <c r="B649" s="503"/>
      <c r="C649" s="734" t="s">
        <v>119</v>
      </c>
      <c r="D649" s="608">
        <v>778522</v>
      </c>
      <c r="E649" s="609">
        <v>21012</v>
      </c>
      <c r="F649" s="609">
        <v>7741</v>
      </c>
      <c r="G649" s="609"/>
      <c r="H649" s="609">
        <v>807275</v>
      </c>
      <c r="I649" s="609">
        <v>829470</v>
      </c>
      <c r="J649" s="609">
        <f t="shared" si="64"/>
        <v>50948</v>
      </c>
      <c r="K649" s="932">
        <f t="shared" si="66"/>
        <v>6.5441952828564895E-2</v>
      </c>
      <c r="L649" s="609">
        <f t="shared" si="65"/>
        <v>22195</v>
      </c>
      <c r="M649" s="932">
        <f t="shared" si="67"/>
        <v>2.7493728902790251E-2</v>
      </c>
    </row>
    <row r="650" spans="1:13" x14ac:dyDescent="0.2">
      <c r="C650" s="717" t="s">
        <v>651</v>
      </c>
      <c r="D650" s="612">
        <v>2501550</v>
      </c>
      <c r="E650" s="612">
        <v>48244</v>
      </c>
      <c r="F650" s="612">
        <v>51115</v>
      </c>
      <c r="G650" s="612">
        <v>-16114</v>
      </c>
      <c r="H650" s="612">
        <v>2584795</v>
      </c>
      <c r="I650" s="612">
        <v>2376209</v>
      </c>
      <c r="J650" s="612">
        <f t="shared" si="64"/>
        <v>-125341</v>
      </c>
      <c r="K650" s="880">
        <f t="shared" si="66"/>
        <v>-5.0105334692490656E-2</v>
      </c>
      <c r="L650" s="612">
        <f t="shared" si="65"/>
        <v>-208586</v>
      </c>
      <c r="M650" s="880">
        <f t="shared" si="67"/>
        <v>-8.0697308684054253E-2</v>
      </c>
    </row>
    <row r="651" spans="1:13" x14ac:dyDescent="0.2">
      <c r="C651" s="734" t="s">
        <v>119</v>
      </c>
      <c r="D651" s="608">
        <v>1474890</v>
      </c>
      <c r="E651" s="609">
        <v>36057</v>
      </c>
      <c r="F651" s="609">
        <v>26570</v>
      </c>
      <c r="G651" s="609"/>
      <c r="H651" s="609">
        <v>1537517</v>
      </c>
      <c r="I651" s="609">
        <v>1378696</v>
      </c>
      <c r="J651" s="609">
        <f t="shared" si="64"/>
        <v>-96194</v>
      </c>
      <c r="K651" s="932">
        <f t="shared" si="66"/>
        <v>-6.5221135135501637E-2</v>
      </c>
      <c r="L651" s="609">
        <f t="shared" si="65"/>
        <v>-158821</v>
      </c>
      <c r="M651" s="932">
        <f t="shared" si="67"/>
        <v>-0.10329706923565724</v>
      </c>
    </row>
    <row r="652" spans="1:13" x14ac:dyDescent="0.2">
      <c r="C652" s="103"/>
      <c r="D652" s="145"/>
      <c r="E652" s="145"/>
      <c r="F652" s="489">
        <v>0</v>
      </c>
      <c r="G652" s="489"/>
      <c r="H652" s="489">
        <f t="shared" si="68"/>
        <v>0</v>
      </c>
      <c r="I652" s="489">
        <v>0</v>
      </c>
      <c r="J652" s="489">
        <f t="shared" si="64"/>
        <v>0</v>
      </c>
      <c r="K652" s="869"/>
      <c r="L652" s="489">
        <f t="shared" si="65"/>
        <v>0</v>
      </c>
      <c r="M652" s="869"/>
    </row>
    <row r="653" spans="1:13" x14ac:dyDescent="0.2">
      <c r="C653" s="105" t="s">
        <v>196</v>
      </c>
      <c r="D653" s="118"/>
      <c r="E653" s="118"/>
      <c r="F653" s="477">
        <v>0</v>
      </c>
      <c r="G653" s="477"/>
      <c r="H653" s="477">
        <f t="shared" si="68"/>
        <v>0</v>
      </c>
      <c r="I653" s="477">
        <v>0</v>
      </c>
      <c r="J653" s="477">
        <f t="shared" si="64"/>
        <v>0</v>
      </c>
      <c r="K653" s="909"/>
      <c r="L653" s="477">
        <f t="shared" si="65"/>
        <v>0</v>
      </c>
      <c r="M653" s="909"/>
    </row>
    <row r="654" spans="1:13" ht="25.5" x14ac:dyDescent="0.2">
      <c r="C654" s="106" t="s">
        <v>209</v>
      </c>
      <c r="D654" s="194">
        <v>18460</v>
      </c>
      <c r="E654" s="194"/>
      <c r="F654" s="194">
        <v>0</v>
      </c>
      <c r="G654" s="194"/>
      <c r="H654" s="194">
        <f t="shared" si="68"/>
        <v>18460</v>
      </c>
      <c r="I654" s="194">
        <v>17610</v>
      </c>
      <c r="J654" s="194">
        <f t="shared" si="64"/>
        <v>-850</v>
      </c>
      <c r="K654" s="887">
        <f t="shared" si="66"/>
        <v>-4.6045503791982668E-2</v>
      </c>
      <c r="L654" s="194">
        <f t="shared" si="65"/>
        <v>-850</v>
      </c>
      <c r="M654" s="887">
        <f t="shared" si="67"/>
        <v>-4.6045503791982668E-2</v>
      </c>
    </row>
    <row r="655" spans="1:13" x14ac:dyDescent="0.2">
      <c r="C655" s="103"/>
      <c r="D655" s="145"/>
      <c r="E655" s="145"/>
      <c r="F655" s="489">
        <v>0</v>
      </c>
      <c r="G655" s="489"/>
      <c r="H655" s="489">
        <f t="shared" si="68"/>
        <v>0</v>
      </c>
      <c r="I655" s="489">
        <v>0</v>
      </c>
      <c r="J655" s="489">
        <f t="shared" si="64"/>
        <v>0</v>
      </c>
      <c r="K655" s="869"/>
      <c r="L655" s="489">
        <f t="shared" si="65"/>
        <v>0</v>
      </c>
      <c r="M655" s="869"/>
    </row>
    <row r="656" spans="1:13" x14ac:dyDescent="0.2">
      <c r="C656" s="321" t="s">
        <v>196</v>
      </c>
      <c r="D656" s="173"/>
      <c r="E656" s="173"/>
      <c r="F656" s="173">
        <v>0</v>
      </c>
      <c r="G656" s="173"/>
      <c r="H656" s="173">
        <f t="shared" si="68"/>
        <v>0</v>
      </c>
      <c r="I656" s="173">
        <v>0</v>
      </c>
      <c r="J656" s="173">
        <f t="shared" si="64"/>
        <v>0</v>
      </c>
      <c r="K656" s="528"/>
      <c r="L656" s="173">
        <f t="shared" si="65"/>
        <v>0</v>
      </c>
      <c r="M656" s="528"/>
    </row>
    <row r="657" spans="1:13" s="6" customFormat="1" x14ac:dyDescent="0.2">
      <c r="A657" s="503"/>
      <c r="B657" s="503"/>
      <c r="C657" s="106" t="s">
        <v>647</v>
      </c>
      <c r="D657" s="194">
        <v>365944</v>
      </c>
      <c r="E657" s="194"/>
      <c r="F657" s="194">
        <v>336472</v>
      </c>
      <c r="G657" s="194">
        <v>134080</v>
      </c>
      <c r="H657" s="194">
        <f t="shared" si="68"/>
        <v>836496</v>
      </c>
      <c r="I657" s="194">
        <v>0</v>
      </c>
      <c r="J657" s="194">
        <f t="shared" si="64"/>
        <v>-365944</v>
      </c>
      <c r="K657" s="887">
        <f t="shared" si="66"/>
        <v>-1</v>
      </c>
      <c r="L657" s="194">
        <f t="shared" si="65"/>
        <v>-836496</v>
      </c>
      <c r="M657" s="887">
        <f t="shared" si="67"/>
        <v>-1</v>
      </c>
    </row>
    <row r="658" spans="1:13" s="6" customFormat="1" x14ac:dyDescent="0.2">
      <c r="A658" s="503"/>
      <c r="B658" s="503"/>
      <c r="C658" s="103" t="s">
        <v>119</v>
      </c>
      <c r="D658" s="489">
        <v>29345</v>
      </c>
      <c r="E658" s="145"/>
      <c r="F658" s="489">
        <v>251473</v>
      </c>
      <c r="G658" s="781">
        <v>-42000</v>
      </c>
      <c r="H658" s="567">
        <f t="shared" si="68"/>
        <v>238818</v>
      </c>
      <c r="I658" s="567">
        <v>0</v>
      </c>
      <c r="J658" s="567">
        <f t="shared" si="64"/>
        <v>-29345</v>
      </c>
      <c r="K658" s="878">
        <f t="shared" si="66"/>
        <v>-1</v>
      </c>
      <c r="L658" s="567">
        <f t="shared" si="65"/>
        <v>-238818</v>
      </c>
      <c r="M658" s="878">
        <f t="shared" si="67"/>
        <v>-1</v>
      </c>
    </row>
    <row r="659" spans="1:13" s="6" customFormat="1" x14ac:dyDescent="0.2">
      <c r="A659" s="459"/>
      <c r="B659" s="459"/>
      <c r="C659" s="251"/>
      <c r="D659" s="145"/>
      <c r="E659" s="145"/>
      <c r="F659" s="489">
        <v>0</v>
      </c>
      <c r="G659" s="567"/>
      <c r="H659" s="567">
        <f t="shared" si="68"/>
        <v>0</v>
      </c>
      <c r="I659" s="567">
        <v>0</v>
      </c>
      <c r="J659" s="567">
        <f t="shared" si="64"/>
        <v>0</v>
      </c>
      <c r="K659" s="878"/>
      <c r="L659" s="567">
        <f t="shared" si="65"/>
        <v>0</v>
      </c>
      <c r="M659" s="878"/>
    </row>
    <row r="660" spans="1:13" s="6" customFormat="1" x14ac:dyDescent="0.2">
      <c r="A660" s="459"/>
      <c r="B660" s="459"/>
      <c r="C660" s="307" t="s">
        <v>983</v>
      </c>
      <c r="D660" s="489"/>
      <c r="E660" s="489"/>
      <c r="F660" s="489">
        <v>203000</v>
      </c>
      <c r="G660" s="601"/>
      <c r="H660" s="601">
        <f t="shared" si="68"/>
        <v>203000</v>
      </c>
      <c r="I660" s="601">
        <v>0</v>
      </c>
      <c r="J660" s="601">
        <f t="shared" si="64"/>
        <v>0</v>
      </c>
      <c r="K660" s="757"/>
      <c r="L660" s="601">
        <f t="shared" si="65"/>
        <v>-203000</v>
      </c>
      <c r="M660" s="757">
        <f t="shared" si="67"/>
        <v>-1</v>
      </c>
    </row>
    <row r="661" spans="1:13" x14ac:dyDescent="0.2">
      <c r="A661" s="459"/>
      <c r="B661" s="459"/>
      <c r="C661" s="308" t="s">
        <v>119</v>
      </c>
      <c r="D661" s="489"/>
      <c r="E661" s="489"/>
      <c r="F661" s="489">
        <v>32920</v>
      </c>
      <c r="G661" s="781">
        <v>85124</v>
      </c>
      <c r="H661" s="567">
        <f t="shared" si="68"/>
        <v>118044</v>
      </c>
      <c r="I661" s="567">
        <v>0</v>
      </c>
      <c r="J661" s="567">
        <f t="shared" si="64"/>
        <v>0</v>
      </c>
      <c r="K661" s="878"/>
      <c r="L661" s="567">
        <f t="shared" si="65"/>
        <v>-118044</v>
      </c>
      <c r="M661" s="878">
        <f t="shared" si="67"/>
        <v>-1</v>
      </c>
    </row>
    <row r="662" spans="1:13" x14ac:dyDescent="0.2">
      <c r="A662" s="459"/>
      <c r="B662" s="459"/>
      <c r="C662" s="98"/>
      <c r="D662" s="489"/>
      <c r="E662" s="489"/>
      <c r="F662" s="489">
        <v>0</v>
      </c>
      <c r="G662" s="489"/>
      <c r="H662" s="489">
        <f t="shared" si="68"/>
        <v>0</v>
      </c>
      <c r="I662" s="489">
        <v>0</v>
      </c>
      <c r="J662" s="489">
        <f t="shared" si="64"/>
        <v>0</v>
      </c>
      <c r="K662" s="869"/>
      <c r="L662" s="489">
        <f t="shared" si="65"/>
        <v>0</v>
      </c>
      <c r="M662" s="869"/>
    </row>
    <row r="663" spans="1:13" x14ac:dyDescent="0.2">
      <c r="C663" s="98"/>
      <c r="D663" s="145"/>
      <c r="E663" s="476"/>
      <c r="F663" s="489">
        <v>0</v>
      </c>
      <c r="G663" s="489"/>
      <c r="H663" s="489">
        <f t="shared" si="68"/>
        <v>0</v>
      </c>
      <c r="I663" s="489">
        <v>0</v>
      </c>
      <c r="J663" s="489">
        <f t="shared" si="64"/>
        <v>0</v>
      </c>
      <c r="K663" s="869"/>
      <c r="L663" s="489">
        <f t="shared" si="65"/>
        <v>0</v>
      </c>
      <c r="M663" s="869"/>
    </row>
    <row r="664" spans="1:13" x14ac:dyDescent="0.2">
      <c r="C664" s="292" t="s">
        <v>210</v>
      </c>
      <c r="D664" s="566">
        <f>D667+D675+D678+D681+D684+D687</f>
        <v>6784721</v>
      </c>
      <c r="E664" s="566">
        <f>E667+E675+E678+E681+E684+E687</f>
        <v>83603</v>
      </c>
      <c r="F664" s="566">
        <f>F667+F675+F678+F681+F684+F687</f>
        <v>157600</v>
      </c>
      <c r="G664" s="566">
        <f>G667+G675+G678+G681+G684+G687</f>
        <v>-126308</v>
      </c>
      <c r="H664" s="566">
        <f t="shared" si="68"/>
        <v>6899616</v>
      </c>
      <c r="I664" s="566">
        <v>7223321</v>
      </c>
      <c r="J664" s="566">
        <f t="shared" si="64"/>
        <v>438600</v>
      </c>
      <c r="K664" s="816">
        <f t="shared" si="66"/>
        <v>6.4645252177650339E-2</v>
      </c>
      <c r="L664" s="566">
        <f t="shared" si="65"/>
        <v>323705</v>
      </c>
      <c r="M664" s="816">
        <f t="shared" si="67"/>
        <v>4.6916379114431875E-2</v>
      </c>
    </row>
    <row r="665" spans="1:13" x14ac:dyDescent="0.2">
      <c r="C665" s="98" t="s">
        <v>119</v>
      </c>
      <c r="D665" s="728">
        <f>D668</f>
        <v>2093865</v>
      </c>
      <c r="E665" s="567">
        <f>E668</f>
        <v>62484</v>
      </c>
      <c r="F665" s="567">
        <v>-14200</v>
      </c>
      <c r="G665" s="781">
        <f>G668</f>
        <v>6660</v>
      </c>
      <c r="H665" s="567">
        <f t="shared" si="68"/>
        <v>2148809</v>
      </c>
      <c r="I665" s="567">
        <v>2154446</v>
      </c>
      <c r="J665" s="567">
        <f t="shared" si="64"/>
        <v>60581</v>
      </c>
      <c r="K665" s="878">
        <f t="shared" si="66"/>
        <v>2.8932619820284496E-2</v>
      </c>
      <c r="L665" s="567">
        <f t="shared" si="65"/>
        <v>5637</v>
      </c>
      <c r="M665" s="878">
        <f t="shared" si="67"/>
        <v>2.6233136588687035E-3</v>
      </c>
    </row>
    <row r="666" spans="1:13" x14ac:dyDescent="0.2">
      <c r="C666" s="105" t="s">
        <v>196</v>
      </c>
      <c r="D666" s="566"/>
      <c r="E666" s="566"/>
      <c r="F666" s="566">
        <v>0</v>
      </c>
      <c r="G666" s="566"/>
      <c r="H666" s="566">
        <f t="shared" si="68"/>
        <v>0</v>
      </c>
      <c r="I666" s="566">
        <v>0</v>
      </c>
      <c r="J666" s="566">
        <f t="shared" si="64"/>
        <v>0</v>
      </c>
      <c r="K666" s="816"/>
      <c r="L666" s="566">
        <f t="shared" si="65"/>
        <v>0</v>
      </c>
      <c r="M666" s="816"/>
    </row>
    <row r="667" spans="1:13" s="56" customFormat="1" x14ac:dyDescent="0.2">
      <c r="A667" s="503"/>
      <c r="B667" s="503"/>
      <c r="C667" s="106" t="s">
        <v>838</v>
      </c>
      <c r="D667" s="194">
        <v>6299975</v>
      </c>
      <c r="E667" s="480">
        <v>83603</v>
      </c>
      <c r="F667" s="194">
        <v>116100</v>
      </c>
      <c r="G667" s="194">
        <f>G669+G670</f>
        <v>-136308</v>
      </c>
      <c r="H667" s="194">
        <f t="shared" si="68"/>
        <v>6363370</v>
      </c>
      <c r="I667" s="194">
        <v>6646926</v>
      </c>
      <c r="J667" s="194">
        <f t="shared" si="64"/>
        <v>346951</v>
      </c>
      <c r="K667" s="887">
        <f t="shared" si="66"/>
        <v>5.5071805840499366E-2</v>
      </c>
      <c r="L667" s="194">
        <f t="shared" si="65"/>
        <v>283556</v>
      </c>
      <c r="M667" s="887">
        <f t="shared" si="67"/>
        <v>4.4560665182128339E-2</v>
      </c>
    </row>
    <row r="668" spans="1:13" s="56" customFormat="1" x14ac:dyDescent="0.2">
      <c r="A668" s="503"/>
      <c r="B668" s="503"/>
      <c r="C668" s="103" t="s">
        <v>119</v>
      </c>
      <c r="D668" s="728">
        <v>2093865</v>
      </c>
      <c r="E668" s="567">
        <v>62484</v>
      </c>
      <c r="F668" s="567">
        <v>-14200</v>
      </c>
      <c r="G668" s="781">
        <v>6660</v>
      </c>
      <c r="H668" s="567">
        <f t="shared" si="68"/>
        <v>2148809</v>
      </c>
      <c r="I668" s="567">
        <v>2154446</v>
      </c>
      <c r="J668" s="567">
        <f t="shared" si="64"/>
        <v>60581</v>
      </c>
      <c r="K668" s="878">
        <f t="shared" si="66"/>
        <v>2.8932619820284496E-2</v>
      </c>
      <c r="L668" s="567">
        <f t="shared" si="65"/>
        <v>5637</v>
      </c>
      <c r="M668" s="878">
        <f t="shared" si="67"/>
        <v>2.6233136588687035E-3</v>
      </c>
    </row>
    <row r="669" spans="1:13" s="65" customFormat="1" x14ac:dyDescent="0.2">
      <c r="A669" s="503"/>
      <c r="B669" s="503"/>
      <c r="C669" s="295" t="s">
        <v>649</v>
      </c>
      <c r="D669" s="612">
        <v>2304950</v>
      </c>
      <c r="E669" s="612"/>
      <c r="F669" s="612">
        <v>0</v>
      </c>
      <c r="G669" s="612">
        <v>-229308</v>
      </c>
      <c r="H669" s="612">
        <f t="shared" si="68"/>
        <v>2075642</v>
      </c>
      <c r="I669" s="612">
        <v>2300216</v>
      </c>
      <c r="J669" s="612">
        <f t="shared" ref="J669:J725" si="69">I669-D669</f>
        <v>-4734</v>
      </c>
      <c r="K669" s="880">
        <f t="shared" ref="K669:K725" si="70">J669/D669</f>
        <v>-2.0538406473025444E-3</v>
      </c>
      <c r="L669" s="612">
        <f t="shared" ref="L669:L725" si="71">I669-H669</f>
        <v>224574</v>
      </c>
      <c r="M669" s="880">
        <f t="shared" ref="M669:M725" si="72">L669/H669</f>
        <v>0.10819495847549818</v>
      </c>
    </row>
    <row r="670" spans="1:13" x14ac:dyDescent="0.2">
      <c r="C670" s="296" t="s">
        <v>652</v>
      </c>
      <c r="D670" s="612">
        <v>3995025</v>
      </c>
      <c r="E670" s="612">
        <v>83603</v>
      </c>
      <c r="F670" s="612">
        <v>116100</v>
      </c>
      <c r="G670" s="612">
        <v>93000</v>
      </c>
      <c r="H670" s="612">
        <f t="shared" si="68"/>
        <v>4287728</v>
      </c>
      <c r="I670" s="612">
        <v>4346710</v>
      </c>
      <c r="J670" s="612">
        <f t="shared" si="69"/>
        <v>351685</v>
      </c>
      <c r="K670" s="880">
        <f t="shared" si="70"/>
        <v>8.8030738230674407E-2</v>
      </c>
      <c r="L670" s="612">
        <f t="shared" si="71"/>
        <v>58982</v>
      </c>
      <c r="M670" s="880">
        <f t="shared" si="72"/>
        <v>1.3756003179306151E-2</v>
      </c>
    </row>
    <row r="671" spans="1:13" s="56" customFormat="1" x14ac:dyDescent="0.2">
      <c r="A671" s="65"/>
      <c r="B671" s="65"/>
      <c r="C671" s="285"/>
      <c r="D671" s="718"/>
      <c r="E671" s="718"/>
      <c r="F671" s="718">
        <v>0</v>
      </c>
      <c r="G671" s="718"/>
      <c r="H671" s="612">
        <f t="shared" si="68"/>
        <v>0</v>
      </c>
      <c r="I671" s="612">
        <v>0</v>
      </c>
      <c r="J671" s="612">
        <f t="shared" si="69"/>
        <v>0</v>
      </c>
      <c r="K671" s="880"/>
      <c r="L671" s="612">
        <f t="shared" si="71"/>
        <v>0</v>
      </c>
      <c r="M671" s="880"/>
    </row>
    <row r="672" spans="1:13" x14ac:dyDescent="0.2">
      <c r="C672" s="318" t="s">
        <v>849</v>
      </c>
      <c r="D672" s="577"/>
      <c r="E672" s="577"/>
      <c r="F672" s="577">
        <v>0</v>
      </c>
      <c r="G672" s="577"/>
      <c r="H672" s="577">
        <f t="shared" si="68"/>
        <v>0</v>
      </c>
      <c r="I672" s="577">
        <v>0</v>
      </c>
      <c r="J672" s="577">
        <f t="shared" si="69"/>
        <v>0</v>
      </c>
      <c r="K672" s="757"/>
      <c r="L672" s="577">
        <f t="shared" si="71"/>
        <v>0</v>
      </c>
      <c r="M672" s="757"/>
    </row>
    <row r="673" spans="3:13" x14ac:dyDescent="0.2">
      <c r="C673" s="406"/>
      <c r="D673" s="577"/>
      <c r="E673" s="577"/>
      <c r="F673" s="577">
        <v>0</v>
      </c>
      <c r="G673" s="577"/>
      <c r="H673" s="577">
        <f t="shared" si="68"/>
        <v>0</v>
      </c>
      <c r="I673" s="577">
        <v>0</v>
      </c>
      <c r="J673" s="577">
        <f t="shared" si="69"/>
        <v>0</v>
      </c>
      <c r="K673" s="757"/>
      <c r="L673" s="577">
        <f t="shared" si="71"/>
        <v>0</v>
      </c>
      <c r="M673" s="757"/>
    </row>
    <row r="674" spans="3:13" x14ac:dyDescent="0.2">
      <c r="C674" s="105" t="s">
        <v>196</v>
      </c>
      <c r="D674" s="566"/>
      <c r="E674" s="566"/>
      <c r="F674" s="566">
        <v>0</v>
      </c>
      <c r="G674" s="566"/>
      <c r="H674" s="566">
        <f t="shared" si="68"/>
        <v>0</v>
      </c>
      <c r="I674" s="566">
        <v>0</v>
      </c>
      <c r="J674" s="566">
        <f t="shared" si="69"/>
        <v>0</v>
      </c>
      <c r="K674" s="816"/>
      <c r="L674" s="566">
        <f t="shared" si="71"/>
        <v>0</v>
      </c>
      <c r="M674" s="816"/>
    </row>
    <row r="675" spans="3:13" ht="25.5" x14ac:dyDescent="0.2">
      <c r="C675" s="106" t="s">
        <v>211</v>
      </c>
      <c r="D675" s="194">
        <v>32880</v>
      </c>
      <c r="E675" s="194"/>
      <c r="F675" s="194">
        <v>0</v>
      </c>
      <c r="G675" s="194"/>
      <c r="H675" s="194">
        <f t="shared" ref="H675:H723" si="73">D675+E675+F675+G675</f>
        <v>32880</v>
      </c>
      <c r="I675" s="194">
        <v>32880</v>
      </c>
      <c r="J675" s="194">
        <f t="shared" si="69"/>
        <v>0</v>
      </c>
      <c r="K675" s="887">
        <f t="shared" si="70"/>
        <v>0</v>
      </c>
      <c r="L675" s="194">
        <f t="shared" si="71"/>
        <v>0</v>
      </c>
      <c r="M675" s="887">
        <f t="shared" si="72"/>
        <v>0</v>
      </c>
    </row>
    <row r="676" spans="3:13" x14ac:dyDescent="0.2">
      <c r="C676" s="283"/>
      <c r="D676" s="492"/>
      <c r="E676" s="492"/>
      <c r="F676" s="492">
        <v>0</v>
      </c>
      <c r="G676" s="492"/>
      <c r="H676" s="194">
        <f t="shared" si="73"/>
        <v>0</v>
      </c>
      <c r="I676" s="194">
        <v>0</v>
      </c>
      <c r="J676" s="194">
        <f t="shared" si="69"/>
        <v>0</v>
      </c>
      <c r="K676" s="887"/>
      <c r="L676" s="194">
        <f t="shared" si="71"/>
        <v>0</v>
      </c>
      <c r="M676" s="887"/>
    </row>
    <row r="677" spans="3:13" x14ac:dyDescent="0.2">
      <c r="C677" s="105" t="s">
        <v>196</v>
      </c>
      <c r="D677" s="566"/>
      <c r="E677" s="566"/>
      <c r="F677" s="566">
        <v>0</v>
      </c>
      <c r="G677" s="566"/>
      <c r="H677" s="194">
        <f t="shared" si="73"/>
        <v>0</v>
      </c>
      <c r="I677" s="194">
        <v>0</v>
      </c>
      <c r="J677" s="194">
        <f t="shared" si="69"/>
        <v>0</v>
      </c>
      <c r="K677" s="887"/>
      <c r="L677" s="194">
        <f t="shared" si="71"/>
        <v>0</v>
      </c>
      <c r="M677" s="887"/>
    </row>
    <row r="678" spans="3:13" x14ac:dyDescent="0.2">
      <c r="C678" s="106" t="s">
        <v>212</v>
      </c>
      <c r="D678" s="194">
        <v>216262</v>
      </c>
      <c r="E678" s="194"/>
      <c r="F678" s="194">
        <v>41500</v>
      </c>
      <c r="G678" s="194">
        <v>10000</v>
      </c>
      <c r="H678" s="194">
        <f t="shared" si="73"/>
        <v>267762</v>
      </c>
      <c r="I678" s="194">
        <v>302690</v>
      </c>
      <c r="J678" s="194">
        <f t="shared" si="69"/>
        <v>86428</v>
      </c>
      <c r="K678" s="887">
        <f t="shared" si="70"/>
        <v>0.39964487519767689</v>
      </c>
      <c r="L678" s="194">
        <f t="shared" si="71"/>
        <v>34928</v>
      </c>
      <c r="M678" s="887">
        <f t="shared" si="72"/>
        <v>0.13044420044666533</v>
      </c>
    </row>
    <row r="679" spans="3:13" x14ac:dyDescent="0.2">
      <c r="C679" s="283"/>
      <c r="D679" s="492"/>
      <c r="E679" s="492"/>
      <c r="F679" s="492">
        <v>0</v>
      </c>
      <c r="G679" s="492"/>
      <c r="H679" s="194">
        <f t="shared" si="73"/>
        <v>0</v>
      </c>
      <c r="I679" s="194">
        <v>0</v>
      </c>
      <c r="J679" s="194">
        <f t="shared" si="69"/>
        <v>0</v>
      </c>
      <c r="K679" s="887"/>
      <c r="L679" s="194">
        <f t="shared" si="71"/>
        <v>0</v>
      </c>
      <c r="M679" s="887"/>
    </row>
    <row r="680" spans="3:13" x14ac:dyDescent="0.2">
      <c r="C680" s="105" t="s">
        <v>196</v>
      </c>
      <c r="D680" s="566"/>
      <c r="E680" s="566"/>
      <c r="F680" s="566">
        <v>0</v>
      </c>
      <c r="G680" s="566"/>
      <c r="H680" s="566">
        <f t="shared" si="73"/>
        <v>0</v>
      </c>
      <c r="I680" s="566">
        <v>0</v>
      </c>
      <c r="J680" s="566">
        <f t="shared" si="69"/>
        <v>0</v>
      </c>
      <c r="K680" s="816"/>
      <c r="L680" s="566">
        <f t="shared" si="71"/>
        <v>0</v>
      </c>
      <c r="M680" s="816"/>
    </row>
    <row r="681" spans="3:13" x14ac:dyDescent="0.2">
      <c r="C681" s="106" t="s">
        <v>213</v>
      </c>
      <c r="D681" s="194">
        <v>16220</v>
      </c>
      <c r="E681" s="194"/>
      <c r="F681" s="194">
        <v>0</v>
      </c>
      <c r="G681" s="194"/>
      <c r="H681" s="194">
        <f t="shared" si="73"/>
        <v>16220</v>
      </c>
      <c r="I681" s="194">
        <v>16220</v>
      </c>
      <c r="J681" s="194">
        <f t="shared" si="69"/>
        <v>0</v>
      </c>
      <c r="K681" s="887">
        <f t="shared" si="70"/>
        <v>0</v>
      </c>
      <c r="L681" s="194">
        <f t="shared" si="71"/>
        <v>0</v>
      </c>
      <c r="M681" s="887">
        <f t="shared" si="72"/>
        <v>0</v>
      </c>
    </row>
    <row r="682" spans="3:13" x14ac:dyDescent="0.2">
      <c r="C682" s="283"/>
      <c r="D682" s="492"/>
      <c r="E682" s="492"/>
      <c r="F682" s="492">
        <v>0</v>
      </c>
      <c r="G682" s="492"/>
      <c r="H682" s="492">
        <f t="shared" si="73"/>
        <v>0</v>
      </c>
      <c r="I682" s="492">
        <v>0</v>
      </c>
      <c r="J682" s="492">
        <f t="shared" si="69"/>
        <v>0</v>
      </c>
      <c r="K682" s="931"/>
      <c r="L682" s="492">
        <f t="shared" si="71"/>
        <v>0</v>
      </c>
      <c r="M682" s="931"/>
    </row>
    <row r="683" spans="3:13" x14ac:dyDescent="0.2">
      <c r="C683" s="105" t="s">
        <v>196</v>
      </c>
      <c r="D683" s="566"/>
      <c r="E683" s="566"/>
      <c r="F683" s="566">
        <v>0</v>
      </c>
      <c r="G683" s="566"/>
      <c r="H683" s="566">
        <f t="shared" si="73"/>
        <v>0</v>
      </c>
      <c r="I683" s="566">
        <v>0</v>
      </c>
      <c r="J683" s="566">
        <f t="shared" si="69"/>
        <v>0</v>
      </c>
      <c r="K683" s="816"/>
      <c r="L683" s="566">
        <f t="shared" si="71"/>
        <v>0</v>
      </c>
      <c r="M683" s="816"/>
    </row>
    <row r="684" spans="3:13" x14ac:dyDescent="0.2">
      <c r="C684" s="106" t="s">
        <v>214</v>
      </c>
      <c r="D684" s="194">
        <v>149384</v>
      </c>
      <c r="E684" s="194"/>
      <c r="F684" s="194">
        <v>0</v>
      </c>
      <c r="G684" s="194"/>
      <c r="H684" s="194">
        <f t="shared" si="73"/>
        <v>149384</v>
      </c>
      <c r="I684" s="194">
        <v>184605</v>
      </c>
      <c r="J684" s="194">
        <f t="shared" si="69"/>
        <v>35221</v>
      </c>
      <c r="K684" s="887">
        <f t="shared" si="70"/>
        <v>0.23577491565361752</v>
      </c>
      <c r="L684" s="194">
        <f t="shared" si="71"/>
        <v>35221</v>
      </c>
      <c r="M684" s="887">
        <f t="shared" si="72"/>
        <v>0.23577491565361752</v>
      </c>
    </row>
    <row r="685" spans="3:13" x14ac:dyDescent="0.2">
      <c r="C685" s="106"/>
      <c r="D685" s="194"/>
      <c r="E685" s="194"/>
      <c r="F685" s="194">
        <v>0</v>
      </c>
      <c r="G685" s="194"/>
      <c r="H685" s="194">
        <f t="shared" si="73"/>
        <v>0</v>
      </c>
      <c r="I685" s="194">
        <v>0</v>
      </c>
      <c r="J685" s="194">
        <f t="shared" si="69"/>
        <v>0</v>
      </c>
      <c r="K685" s="887"/>
      <c r="L685" s="194">
        <f t="shared" si="71"/>
        <v>0</v>
      </c>
      <c r="M685" s="887"/>
    </row>
    <row r="686" spans="3:13" x14ac:dyDescent="0.2">
      <c r="C686" s="105" t="s">
        <v>196</v>
      </c>
      <c r="D686" s="566"/>
      <c r="E686" s="566"/>
      <c r="F686" s="566">
        <v>0</v>
      </c>
      <c r="G686" s="566"/>
      <c r="H686" s="566">
        <f t="shared" si="73"/>
        <v>0</v>
      </c>
      <c r="I686" s="566">
        <v>0</v>
      </c>
      <c r="J686" s="566">
        <f t="shared" si="69"/>
        <v>0</v>
      </c>
      <c r="K686" s="816"/>
      <c r="L686" s="566">
        <f t="shared" si="71"/>
        <v>0</v>
      </c>
      <c r="M686" s="816"/>
    </row>
    <row r="687" spans="3:13" ht="25.5" x14ac:dyDescent="0.2">
      <c r="C687" s="106" t="s">
        <v>648</v>
      </c>
      <c r="D687" s="194">
        <v>70000</v>
      </c>
      <c r="E687" s="194"/>
      <c r="F687" s="194">
        <v>0</v>
      </c>
      <c r="G687" s="194"/>
      <c r="H687" s="194">
        <f t="shared" si="73"/>
        <v>70000</v>
      </c>
      <c r="I687" s="194">
        <v>40000</v>
      </c>
      <c r="J687" s="194">
        <f t="shared" si="69"/>
        <v>-30000</v>
      </c>
      <c r="K687" s="887">
        <f t="shared" si="70"/>
        <v>-0.42857142857142855</v>
      </c>
      <c r="L687" s="194">
        <f t="shared" si="71"/>
        <v>-30000</v>
      </c>
      <c r="M687" s="887">
        <f t="shared" si="72"/>
        <v>-0.42857142857142855</v>
      </c>
    </row>
    <row r="688" spans="3:13" x14ac:dyDescent="0.2">
      <c r="C688" s="370"/>
      <c r="D688" s="167"/>
      <c r="E688" s="167"/>
      <c r="F688" s="167">
        <v>0</v>
      </c>
      <c r="G688" s="167"/>
      <c r="H688" s="167">
        <f t="shared" si="73"/>
        <v>0</v>
      </c>
      <c r="I688" s="167">
        <v>0</v>
      </c>
      <c r="J688" s="167">
        <f t="shared" si="69"/>
        <v>0</v>
      </c>
      <c r="K688" s="933"/>
      <c r="L688" s="167">
        <f t="shared" si="71"/>
        <v>0</v>
      </c>
      <c r="M688" s="933"/>
    </row>
    <row r="689" spans="3:13" x14ac:dyDescent="0.2">
      <c r="C689" s="292" t="s">
        <v>215</v>
      </c>
      <c r="D689" s="566">
        <f>D692+D696+D707+D722+D734+D738+D741</f>
        <v>7172695</v>
      </c>
      <c r="E689" s="566">
        <f>E692+E696+E707+E722+E734+E738+E741</f>
        <v>87727</v>
      </c>
      <c r="F689" s="566">
        <f>F692+F696+F707+F722+F734+F738+F741+F714+F730+F745+F749+F711</f>
        <v>1501936</v>
      </c>
      <c r="G689" s="566">
        <f>G692+G696+G707+G722+G734+G738+G741+G714+G730+G745+G749+G711</f>
        <v>226165</v>
      </c>
      <c r="H689" s="566">
        <f t="shared" si="73"/>
        <v>8988523</v>
      </c>
      <c r="I689" s="566">
        <v>9594822</v>
      </c>
      <c r="J689" s="566">
        <f t="shared" si="69"/>
        <v>2422127</v>
      </c>
      <c r="K689" s="816">
        <f t="shared" si="70"/>
        <v>0.33768715942891758</v>
      </c>
      <c r="L689" s="566">
        <f t="shared" si="71"/>
        <v>606299</v>
      </c>
      <c r="M689" s="816">
        <f t="shared" si="72"/>
        <v>6.7452572575049316E-2</v>
      </c>
    </row>
    <row r="690" spans="3:13" x14ac:dyDescent="0.2">
      <c r="C690" s="98" t="s">
        <v>119</v>
      </c>
      <c r="D690" s="728">
        <f>D693+D704+D708+D723+D735+D742</f>
        <v>4636349</v>
      </c>
      <c r="E690" s="567">
        <f>E693+E704+E708+E723+E735+E742</f>
        <v>65565</v>
      </c>
      <c r="F690" s="567">
        <f>F693+F704+F708+F723+F735+F742+F715+F731+F746+F750</f>
        <v>116143</v>
      </c>
      <c r="G690" s="781">
        <f>G693+G704+G708+G723+G735+G742+G715+G731+G746+G750</f>
        <v>4990</v>
      </c>
      <c r="H690" s="567">
        <f t="shared" si="73"/>
        <v>4823047</v>
      </c>
      <c r="I690" s="567">
        <v>5629330</v>
      </c>
      <c r="J690" s="567">
        <f t="shared" si="69"/>
        <v>992981</v>
      </c>
      <c r="K690" s="878">
        <f t="shared" si="70"/>
        <v>0.21417304866393794</v>
      </c>
      <c r="L690" s="567">
        <f t="shared" si="71"/>
        <v>806283</v>
      </c>
      <c r="M690" s="878">
        <f t="shared" si="72"/>
        <v>0.16717295104111571</v>
      </c>
    </row>
    <row r="691" spans="3:13" x14ac:dyDescent="0.2">
      <c r="C691" s="105" t="s">
        <v>196</v>
      </c>
      <c r="D691" s="566"/>
      <c r="E691" s="566"/>
      <c r="F691" s="566">
        <v>0</v>
      </c>
      <c r="G691" s="566"/>
      <c r="H691" s="566">
        <f t="shared" si="73"/>
        <v>0</v>
      </c>
      <c r="I691" s="566">
        <v>0</v>
      </c>
      <c r="J691" s="566">
        <f t="shared" si="69"/>
        <v>0</v>
      </c>
      <c r="K691" s="816"/>
      <c r="L691" s="566">
        <f t="shared" si="71"/>
        <v>0</v>
      </c>
      <c r="M691" s="816"/>
    </row>
    <row r="692" spans="3:13" ht="24" x14ac:dyDescent="0.2">
      <c r="C692" s="106" t="s">
        <v>653</v>
      </c>
      <c r="D692" s="194">
        <v>656373</v>
      </c>
      <c r="E692" s="480">
        <v>29629</v>
      </c>
      <c r="F692" s="194">
        <v>18066</v>
      </c>
      <c r="G692" s="194">
        <v>15008</v>
      </c>
      <c r="H692" s="194">
        <f t="shared" si="73"/>
        <v>719076</v>
      </c>
      <c r="I692" s="194">
        <v>772971</v>
      </c>
      <c r="J692" s="194">
        <f t="shared" si="69"/>
        <v>116598</v>
      </c>
      <c r="K692" s="887">
        <f t="shared" si="70"/>
        <v>0.17763984807418953</v>
      </c>
      <c r="L692" s="194">
        <f t="shared" si="71"/>
        <v>53895</v>
      </c>
      <c r="M692" s="887">
        <f t="shared" si="72"/>
        <v>7.4950352952956295E-2</v>
      </c>
    </row>
    <row r="693" spans="3:13" x14ac:dyDescent="0.2">
      <c r="C693" s="103" t="s">
        <v>119</v>
      </c>
      <c r="D693" s="728">
        <v>446362</v>
      </c>
      <c r="E693" s="567">
        <v>22144</v>
      </c>
      <c r="F693" s="567">
        <v>13620</v>
      </c>
      <c r="G693" s="781">
        <v>4043</v>
      </c>
      <c r="H693" s="567">
        <f t="shared" si="73"/>
        <v>486169</v>
      </c>
      <c r="I693" s="567">
        <v>519830</v>
      </c>
      <c r="J693" s="567">
        <f t="shared" si="69"/>
        <v>73468</v>
      </c>
      <c r="K693" s="878">
        <f t="shared" si="70"/>
        <v>0.16459286408789278</v>
      </c>
      <c r="L693" s="567">
        <f t="shared" si="71"/>
        <v>33661</v>
      </c>
      <c r="M693" s="878">
        <f t="shared" si="72"/>
        <v>6.9237240548039883E-2</v>
      </c>
    </row>
    <row r="694" spans="3:13" x14ac:dyDescent="0.2">
      <c r="C694" s="284"/>
      <c r="D694" s="492"/>
      <c r="E694" s="492"/>
      <c r="F694" s="492">
        <v>0</v>
      </c>
      <c r="G694" s="492"/>
      <c r="H694" s="492">
        <f t="shared" si="73"/>
        <v>0</v>
      </c>
      <c r="I694" s="492">
        <v>0</v>
      </c>
      <c r="J694" s="492">
        <f t="shared" si="69"/>
        <v>0</v>
      </c>
      <c r="K694" s="931"/>
      <c r="L694" s="492">
        <f t="shared" si="71"/>
        <v>0</v>
      </c>
      <c r="M694" s="931"/>
    </row>
    <row r="695" spans="3:13" x14ac:dyDescent="0.2">
      <c r="C695" s="105" t="s">
        <v>196</v>
      </c>
      <c r="D695" s="566"/>
      <c r="E695" s="566"/>
      <c r="F695" s="566">
        <v>0</v>
      </c>
      <c r="G695" s="566"/>
      <c r="H695" s="566">
        <f t="shared" si="73"/>
        <v>0</v>
      </c>
      <c r="I695" s="566">
        <v>0</v>
      </c>
      <c r="J695" s="566">
        <f t="shared" si="69"/>
        <v>0</v>
      </c>
      <c r="K695" s="816"/>
      <c r="L695" s="566">
        <f t="shared" si="71"/>
        <v>0</v>
      </c>
      <c r="M695" s="816"/>
    </row>
    <row r="696" spans="3:13" x14ac:dyDescent="0.2">
      <c r="C696" s="106" t="s">
        <v>654</v>
      </c>
      <c r="D696" s="194">
        <f>D697+D698+D699+D700+D701+D702+D703</f>
        <v>394316</v>
      </c>
      <c r="E696" s="194"/>
      <c r="F696" s="194">
        <v>137382</v>
      </c>
      <c r="G696" s="194">
        <f>G697+G698+G699+G700+G701+G702+G703</f>
        <v>9000</v>
      </c>
      <c r="H696" s="194">
        <f t="shared" si="73"/>
        <v>540698</v>
      </c>
      <c r="I696" s="194">
        <v>680394</v>
      </c>
      <c r="J696" s="194">
        <f t="shared" si="69"/>
        <v>286078</v>
      </c>
      <c r="K696" s="887">
        <f t="shared" si="70"/>
        <v>0.72550441777660557</v>
      </c>
      <c r="L696" s="194">
        <f t="shared" si="71"/>
        <v>139696</v>
      </c>
      <c r="M696" s="887">
        <f t="shared" si="72"/>
        <v>0.25836233905063455</v>
      </c>
    </row>
    <row r="697" spans="3:13" x14ac:dyDescent="0.2">
      <c r="C697" s="298" t="s">
        <v>487</v>
      </c>
      <c r="D697" s="210">
        <v>105000</v>
      </c>
      <c r="E697" s="210"/>
      <c r="F697" s="210">
        <v>0</v>
      </c>
      <c r="G697" s="210">
        <v>9000</v>
      </c>
      <c r="H697" s="210">
        <f t="shared" si="73"/>
        <v>114000</v>
      </c>
      <c r="I697" s="210">
        <v>122500</v>
      </c>
      <c r="J697" s="210">
        <f t="shared" si="69"/>
        <v>17500</v>
      </c>
      <c r="K697" s="915">
        <f t="shared" si="70"/>
        <v>0.16666666666666666</v>
      </c>
      <c r="L697" s="210">
        <f t="shared" si="71"/>
        <v>8500</v>
      </c>
      <c r="M697" s="915">
        <f t="shared" si="72"/>
        <v>7.4561403508771926E-2</v>
      </c>
    </row>
    <row r="698" spans="3:13" ht="22.5" x14ac:dyDescent="0.2">
      <c r="C698" s="298" t="s">
        <v>488</v>
      </c>
      <c r="D698" s="210">
        <v>61890</v>
      </c>
      <c r="E698" s="210"/>
      <c r="F698" s="210">
        <v>34788</v>
      </c>
      <c r="G698" s="210"/>
      <c r="H698" s="210">
        <f t="shared" si="73"/>
        <v>96678</v>
      </c>
      <c r="I698" s="210">
        <v>98410</v>
      </c>
      <c r="J698" s="210">
        <f t="shared" si="69"/>
        <v>36520</v>
      </c>
      <c r="K698" s="915">
        <f t="shared" si="70"/>
        <v>0.59007917272580379</v>
      </c>
      <c r="L698" s="210">
        <f t="shared" si="71"/>
        <v>1732</v>
      </c>
      <c r="M698" s="915">
        <f t="shared" si="72"/>
        <v>1.7915140983470905E-2</v>
      </c>
    </row>
    <row r="699" spans="3:13" x14ac:dyDescent="0.2">
      <c r="C699" s="298" t="s">
        <v>489</v>
      </c>
      <c r="D699" s="210">
        <v>39680</v>
      </c>
      <c r="E699" s="210"/>
      <c r="F699" s="210">
        <v>0</v>
      </c>
      <c r="G699" s="210"/>
      <c r="H699" s="210">
        <f t="shared" si="73"/>
        <v>39680</v>
      </c>
      <c r="I699" s="210">
        <v>39680</v>
      </c>
      <c r="J699" s="210">
        <f t="shared" si="69"/>
        <v>0</v>
      </c>
      <c r="K699" s="915">
        <f t="shared" si="70"/>
        <v>0</v>
      </c>
      <c r="L699" s="210">
        <f t="shared" si="71"/>
        <v>0</v>
      </c>
      <c r="M699" s="915">
        <f t="shared" si="72"/>
        <v>0</v>
      </c>
    </row>
    <row r="700" spans="3:13" x14ac:dyDescent="0.2">
      <c r="C700" s="298" t="s">
        <v>490</v>
      </c>
      <c r="D700" s="210">
        <v>17481</v>
      </c>
      <c r="E700" s="210"/>
      <c r="F700" s="210">
        <v>0</v>
      </c>
      <c r="G700" s="210"/>
      <c r="H700" s="210">
        <f t="shared" si="73"/>
        <v>17481</v>
      </c>
      <c r="I700" s="210">
        <v>17481</v>
      </c>
      <c r="J700" s="210">
        <f t="shared" si="69"/>
        <v>0</v>
      </c>
      <c r="K700" s="915">
        <f t="shared" si="70"/>
        <v>0</v>
      </c>
      <c r="L700" s="210">
        <f t="shared" si="71"/>
        <v>0</v>
      </c>
      <c r="M700" s="915">
        <f t="shared" si="72"/>
        <v>0</v>
      </c>
    </row>
    <row r="701" spans="3:13" x14ac:dyDescent="0.2">
      <c r="C701" s="298" t="s">
        <v>491</v>
      </c>
      <c r="D701" s="210">
        <v>12500</v>
      </c>
      <c r="E701" s="210"/>
      <c r="F701" s="210">
        <v>0</v>
      </c>
      <c r="G701" s="210"/>
      <c r="H701" s="210">
        <f t="shared" si="73"/>
        <v>12500</v>
      </c>
      <c r="I701" s="210">
        <v>12500</v>
      </c>
      <c r="J701" s="210">
        <f t="shared" si="69"/>
        <v>0</v>
      </c>
      <c r="K701" s="915">
        <f t="shared" si="70"/>
        <v>0</v>
      </c>
      <c r="L701" s="210">
        <f t="shared" si="71"/>
        <v>0</v>
      </c>
      <c r="M701" s="915">
        <f t="shared" si="72"/>
        <v>0</v>
      </c>
    </row>
    <row r="702" spans="3:13" x14ac:dyDescent="0.2">
      <c r="C702" s="295" t="s">
        <v>216</v>
      </c>
      <c r="D702" s="612">
        <v>54545</v>
      </c>
      <c r="E702" s="612"/>
      <c r="F702" s="612">
        <v>0</v>
      </c>
      <c r="G702" s="612"/>
      <c r="H702" s="210">
        <f t="shared" si="73"/>
        <v>54545</v>
      </c>
      <c r="I702" s="210">
        <v>45545</v>
      </c>
      <c r="J702" s="210">
        <f t="shared" si="69"/>
        <v>-9000</v>
      </c>
      <c r="K702" s="915">
        <f t="shared" si="70"/>
        <v>-0.16500137501145842</v>
      </c>
      <c r="L702" s="210">
        <f t="shared" si="71"/>
        <v>-9000</v>
      </c>
      <c r="M702" s="915">
        <f t="shared" si="72"/>
        <v>-0.16500137501145842</v>
      </c>
    </row>
    <row r="703" spans="3:13" x14ac:dyDescent="0.2">
      <c r="C703" s="295" t="s">
        <v>492</v>
      </c>
      <c r="D703" s="612">
        <v>103220</v>
      </c>
      <c r="E703" s="612"/>
      <c r="F703" s="612">
        <v>102594</v>
      </c>
      <c r="G703" s="612"/>
      <c r="H703" s="210">
        <f t="shared" si="73"/>
        <v>205814</v>
      </c>
      <c r="I703" s="210">
        <v>344278</v>
      </c>
      <c r="J703" s="210">
        <f t="shared" si="69"/>
        <v>241058</v>
      </c>
      <c r="K703" s="915">
        <f t="shared" si="70"/>
        <v>2.3353807401666344</v>
      </c>
      <c r="L703" s="210">
        <f t="shared" si="71"/>
        <v>138464</v>
      </c>
      <c r="M703" s="915">
        <f t="shared" si="72"/>
        <v>0.67276278581631954</v>
      </c>
    </row>
    <row r="704" spans="3:13" x14ac:dyDescent="0.2">
      <c r="C704" s="103" t="s">
        <v>119</v>
      </c>
      <c r="D704" s="728">
        <v>46426</v>
      </c>
      <c r="E704" s="567"/>
      <c r="F704" s="567">
        <v>23000</v>
      </c>
      <c r="G704" s="567"/>
      <c r="H704" s="567">
        <f t="shared" si="73"/>
        <v>69426</v>
      </c>
      <c r="I704" s="567">
        <v>84676</v>
      </c>
      <c r="J704" s="567">
        <f t="shared" si="69"/>
        <v>38250</v>
      </c>
      <c r="K704" s="878">
        <f t="shared" si="70"/>
        <v>0.82389178477577218</v>
      </c>
      <c r="L704" s="567">
        <f t="shared" si="71"/>
        <v>15250</v>
      </c>
      <c r="M704" s="878">
        <f t="shared" si="72"/>
        <v>0.21965834125543746</v>
      </c>
    </row>
    <row r="705" spans="1:13" x14ac:dyDescent="0.2">
      <c r="C705" s="369"/>
      <c r="D705" s="194"/>
      <c r="E705" s="194"/>
      <c r="F705" s="194">
        <v>0</v>
      </c>
      <c r="G705" s="194"/>
      <c r="H705" s="194">
        <f t="shared" si="73"/>
        <v>0</v>
      </c>
      <c r="I705" s="194">
        <v>0</v>
      </c>
      <c r="J705" s="194">
        <f t="shared" si="69"/>
        <v>0</v>
      </c>
      <c r="K705" s="887"/>
      <c r="L705" s="194">
        <f t="shared" si="71"/>
        <v>0</v>
      </c>
      <c r="M705" s="887"/>
    </row>
    <row r="706" spans="1:13" x14ac:dyDescent="0.2">
      <c r="C706" s="105" t="s">
        <v>196</v>
      </c>
      <c r="D706" s="566"/>
      <c r="E706" s="566"/>
      <c r="F706" s="566">
        <v>0</v>
      </c>
      <c r="G706" s="566"/>
      <c r="H706" s="566">
        <f t="shared" si="73"/>
        <v>0</v>
      </c>
      <c r="I706" s="566">
        <v>0</v>
      </c>
      <c r="J706" s="566">
        <f t="shared" si="69"/>
        <v>0</v>
      </c>
      <c r="K706" s="816"/>
      <c r="L706" s="566">
        <f t="shared" si="71"/>
        <v>0</v>
      </c>
      <c r="M706" s="816"/>
    </row>
    <row r="707" spans="1:13" s="486" customFormat="1" ht="25.5" x14ac:dyDescent="0.2">
      <c r="A707" s="503"/>
      <c r="B707" s="503"/>
      <c r="C707" s="106" t="s">
        <v>655</v>
      </c>
      <c r="D707" s="194">
        <v>2887280</v>
      </c>
      <c r="E707" s="480">
        <v>6619</v>
      </c>
      <c r="F707" s="194">
        <v>-700000</v>
      </c>
      <c r="G707" s="194">
        <v>-50844</v>
      </c>
      <c r="H707" s="194">
        <f t="shared" si="73"/>
        <v>2143055</v>
      </c>
      <c r="I707" s="194">
        <v>2193899</v>
      </c>
      <c r="J707" s="194">
        <f t="shared" si="69"/>
        <v>-693381</v>
      </c>
      <c r="K707" s="887">
        <f t="shared" si="70"/>
        <v>-0.24015024521348813</v>
      </c>
      <c r="L707" s="194">
        <f t="shared" si="71"/>
        <v>50844</v>
      </c>
      <c r="M707" s="887">
        <f t="shared" si="72"/>
        <v>2.3725009390799582E-2</v>
      </c>
    </row>
    <row r="708" spans="1:13" s="17" customFormat="1" x14ac:dyDescent="0.2">
      <c r="A708" s="503"/>
      <c r="B708" s="503"/>
      <c r="C708" s="103" t="s">
        <v>119</v>
      </c>
      <c r="D708" s="728">
        <v>2129665</v>
      </c>
      <c r="E708" s="567">
        <v>4947</v>
      </c>
      <c r="F708" s="567">
        <v>-523169</v>
      </c>
      <c r="G708" s="781">
        <v>-38000</v>
      </c>
      <c r="H708" s="567">
        <f t="shared" si="73"/>
        <v>1573443</v>
      </c>
      <c r="I708" s="567">
        <v>1611443</v>
      </c>
      <c r="J708" s="567">
        <f t="shared" si="69"/>
        <v>-518222</v>
      </c>
      <c r="K708" s="878">
        <f t="shared" si="70"/>
        <v>-0.2433349846102556</v>
      </c>
      <c r="L708" s="567">
        <f t="shared" si="71"/>
        <v>38000</v>
      </c>
      <c r="M708" s="878">
        <f t="shared" si="72"/>
        <v>2.4150858976143399E-2</v>
      </c>
    </row>
    <row r="709" spans="1:13" s="17" customFormat="1" x14ac:dyDescent="0.2">
      <c r="A709" s="503"/>
      <c r="B709" s="503"/>
      <c r="C709" s="103"/>
      <c r="D709" s="567"/>
      <c r="E709" s="567"/>
      <c r="F709" s="567">
        <v>0</v>
      </c>
      <c r="G709" s="567"/>
      <c r="H709" s="567">
        <f t="shared" si="73"/>
        <v>0</v>
      </c>
      <c r="I709" s="567">
        <v>0</v>
      </c>
      <c r="J709" s="567">
        <f t="shared" si="69"/>
        <v>0</v>
      </c>
      <c r="K709" s="878"/>
      <c r="L709" s="567">
        <f t="shared" si="71"/>
        <v>0</v>
      </c>
      <c r="M709" s="878"/>
    </row>
    <row r="710" spans="1:13" s="486" customFormat="1" x14ac:dyDescent="0.2">
      <c r="A710" s="504"/>
      <c r="B710" s="504"/>
      <c r="C710" s="695" t="s">
        <v>196</v>
      </c>
      <c r="D710" s="567"/>
      <c r="E710" s="567"/>
      <c r="F710" s="567"/>
      <c r="G710" s="567"/>
      <c r="H710" s="567">
        <f t="shared" si="73"/>
        <v>0</v>
      </c>
      <c r="I710" s="567">
        <v>0</v>
      </c>
      <c r="J710" s="567">
        <f t="shared" si="69"/>
        <v>0</v>
      </c>
      <c r="K710" s="878"/>
      <c r="L710" s="567">
        <f t="shared" si="71"/>
        <v>0</v>
      </c>
      <c r="M710" s="878"/>
    </row>
    <row r="711" spans="1:13" s="486" customFormat="1" ht="51" x14ac:dyDescent="0.2">
      <c r="A711" s="504"/>
      <c r="B711" s="504"/>
      <c r="C711" s="106" t="s">
        <v>1083</v>
      </c>
      <c r="D711" s="601"/>
      <c r="E711" s="601"/>
      <c r="F711" s="601">
        <v>60000</v>
      </c>
      <c r="G711" s="601"/>
      <c r="H711" s="601">
        <f t="shared" si="73"/>
        <v>60000</v>
      </c>
      <c r="I711" s="601"/>
      <c r="J711" s="601">
        <f t="shared" si="69"/>
        <v>0</v>
      </c>
      <c r="K711" s="757"/>
      <c r="L711" s="601">
        <f t="shared" si="71"/>
        <v>-60000</v>
      </c>
      <c r="M711" s="757">
        <f t="shared" si="72"/>
        <v>-1</v>
      </c>
    </row>
    <row r="712" spans="1:13" s="486" customFormat="1" x14ac:dyDescent="0.2">
      <c r="A712" s="503"/>
      <c r="B712" s="503"/>
      <c r="C712" s="103"/>
      <c r="D712" s="567"/>
      <c r="E712" s="567"/>
      <c r="F712" s="567"/>
      <c r="G712" s="567"/>
      <c r="H712" s="567">
        <f t="shared" si="73"/>
        <v>0</v>
      </c>
      <c r="I712" s="567">
        <v>0</v>
      </c>
      <c r="J712" s="567">
        <f t="shared" si="69"/>
        <v>0</v>
      </c>
      <c r="K712" s="878"/>
      <c r="L712" s="567">
        <f t="shared" si="71"/>
        <v>0</v>
      </c>
      <c r="M712" s="878"/>
    </row>
    <row r="713" spans="1:13" s="486" customFormat="1" x14ac:dyDescent="0.2">
      <c r="A713" s="503"/>
      <c r="B713" s="503"/>
      <c r="C713" s="105" t="s">
        <v>196</v>
      </c>
      <c r="D713" s="567"/>
      <c r="E713" s="567"/>
      <c r="F713" s="567">
        <v>0</v>
      </c>
      <c r="G713" s="567"/>
      <c r="H713" s="567">
        <f t="shared" si="73"/>
        <v>0</v>
      </c>
      <c r="I713" s="567">
        <v>0</v>
      </c>
      <c r="J713" s="567">
        <f t="shared" si="69"/>
        <v>0</v>
      </c>
      <c r="K713" s="878"/>
      <c r="L713" s="567">
        <f t="shared" si="71"/>
        <v>0</v>
      </c>
      <c r="M713" s="878"/>
    </row>
    <row r="714" spans="1:13" s="486" customFormat="1" ht="51" x14ac:dyDescent="0.2">
      <c r="A714" s="503"/>
      <c r="B714" s="503"/>
      <c r="C714" s="106" t="s">
        <v>932</v>
      </c>
      <c r="D714" s="567"/>
      <c r="E714" s="567"/>
      <c r="F714" s="687">
        <v>1596840</v>
      </c>
      <c r="G714" s="687"/>
      <c r="H714" s="601">
        <f t="shared" si="73"/>
        <v>1596840</v>
      </c>
      <c r="I714" s="601">
        <f>1596840+60000</f>
        <v>1656840</v>
      </c>
      <c r="J714" s="601">
        <f t="shared" si="69"/>
        <v>1656840</v>
      </c>
      <c r="K714" s="757"/>
      <c r="L714" s="601">
        <f t="shared" si="71"/>
        <v>60000</v>
      </c>
      <c r="M714" s="757">
        <f t="shared" si="72"/>
        <v>3.7574209062899225E-2</v>
      </c>
    </row>
    <row r="715" spans="1:13" s="486" customFormat="1" x14ac:dyDescent="0.2">
      <c r="A715" s="503"/>
      <c r="B715" s="503"/>
      <c r="C715" s="103" t="s">
        <v>119</v>
      </c>
      <c r="D715" s="728"/>
      <c r="E715" s="567"/>
      <c r="F715" s="567">
        <v>439430</v>
      </c>
      <c r="G715" s="567"/>
      <c r="H715" s="567">
        <f t="shared" si="73"/>
        <v>439430</v>
      </c>
      <c r="I715" s="567">
        <v>738415</v>
      </c>
      <c r="J715" s="567">
        <f t="shared" si="69"/>
        <v>738415</v>
      </c>
      <c r="K715" s="878"/>
      <c r="L715" s="567">
        <f t="shared" si="71"/>
        <v>298985</v>
      </c>
      <c r="M715" s="878">
        <f t="shared" si="72"/>
        <v>0.68039278155792726</v>
      </c>
    </row>
    <row r="716" spans="1:13" s="486" customFormat="1" x14ac:dyDescent="0.2">
      <c r="A716" s="503"/>
      <c r="B716" s="503"/>
      <c r="C716" s="103"/>
      <c r="D716" s="567"/>
      <c r="E716" s="567"/>
      <c r="F716" s="567"/>
      <c r="G716" s="567"/>
      <c r="H716" s="567">
        <f t="shared" si="73"/>
        <v>0</v>
      </c>
      <c r="I716" s="567">
        <v>0</v>
      </c>
      <c r="J716" s="567">
        <f t="shared" si="69"/>
        <v>0</v>
      </c>
      <c r="K716" s="878"/>
      <c r="L716" s="567">
        <f t="shared" si="71"/>
        <v>0</v>
      </c>
      <c r="M716" s="878"/>
    </row>
    <row r="717" spans="1:13" s="486" customFormat="1" x14ac:dyDescent="0.2">
      <c r="A717" s="503"/>
      <c r="B717" s="503"/>
      <c r="C717" s="695" t="s">
        <v>196</v>
      </c>
      <c r="D717" s="612"/>
      <c r="E717" s="612"/>
      <c r="F717" s="612">
        <v>0</v>
      </c>
      <c r="G717" s="612"/>
      <c r="H717" s="612">
        <f t="shared" si="73"/>
        <v>0</v>
      </c>
      <c r="I717" s="612">
        <v>0</v>
      </c>
      <c r="J717" s="612">
        <f t="shared" si="69"/>
        <v>0</v>
      </c>
      <c r="K717" s="880"/>
      <c r="L717" s="612">
        <f t="shared" si="71"/>
        <v>0</v>
      </c>
      <c r="M717" s="880"/>
    </row>
    <row r="718" spans="1:13" ht="24" x14ac:dyDescent="0.2">
      <c r="C718" s="106" t="s">
        <v>1006</v>
      </c>
      <c r="D718" s="612"/>
      <c r="E718" s="612"/>
      <c r="F718" s="601"/>
      <c r="G718" s="601"/>
      <c r="H718" s="601">
        <f t="shared" si="73"/>
        <v>0</v>
      </c>
      <c r="I718" s="601">
        <v>460000</v>
      </c>
      <c r="J718" s="601">
        <f t="shared" si="69"/>
        <v>460000</v>
      </c>
      <c r="K718" s="757"/>
      <c r="L718" s="601">
        <f t="shared" si="71"/>
        <v>460000</v>
      </c>
      <c r="M718" s="757"/>
    </row>
    <row r="719" spans="1:13" x14ac:dyDescent="0.2">
      <c r="C719" s="731" t="s">
        <v>119</v>
      </c>
      <c r="D719" s="206"/>
      <c r="E719" s="612"/>
      <c r="F719" s="567"/>
      <c r="G719" s="567"/>
      <c r="H719" s="567">
        <f t="shared" si="73"/>
        <v>0</v>
      </c>
      <c r="I719" s="567">
        <v>336320</v>
      </c>
      <c r="J719" s="567">
        <f t="shared" si="69"/>
        <v>336320</v>
      </c>
      <c r="K719" s="878"/>
      <c r="L719" s="567">
        <f t="shared" si="71"/>
        <v>336320</v>
      </c>
      <c r="M719" s="878"/>
    </row>
    <row r="720" spans="1:13" x14ac:dyDescent="0.2">
      <c r="C720" s="103"/>
      <c r="D720" s="567"/>
      <c r="E720" s="567"/>
      <c r="F720" s="567">
        <v>0</v>
      </c>
      <c r="G720" s="567"/>
      <c r="H720" s="567">
        <f t="shared" si="73"/>
        <v>0</v>
      </c>
      <c r="I720" s="567">
        <v>0</v>
      </c>
      <c r="J720" s="567">
        <f t="shared" si="69"/>
        <v>0</v>
      </c>
      <c r="K720" s="878"/>
      <c r="L720" s="567">
        <f t="shared" si="71"/>
        <v>0</v>
      </c>
      <c r="M720" s="878"/>
    </row>
    <row r="721" spans="1:13" x14ac:dyDescent="0.2">
      <c r="C721" s="105" t="s">
        <v>196</v>
      </c>
      <c r="D721" s="566"/>
      <c r="E721" s="566"/>
      <c r="F721" s="566">
        <v>0</v>
      </c>
      <c r="G721" s="566"/>
      <c r="H721" s="566">
        <f t="shared" si="73"/>
        <v>0</v>
      </c>
      <c r="I721" s="566">
        <v>0</v>
      </c>
      <c r="J721" s="566">
        <f t="shared" si="69"/>
        <v>0</v>
      </c>
      <c r="K721" s="816"/>
      <c r="L721" s="566">
        <f t="shared" si="71"/>
        <v>0</v>
      </c>
      <c r="M721" s="816"/>
    </row>
    <row r="722" spans="1:13" s="56" customFormat="1" ht="36.75" x14ac:dyDescent="0.2">
      <c r="A722" s="503"/>
      <c r="B722" s="503"/>
      <c r="C722" s="106" t="s">
        <v>656</v>
      </c>
      <c r="D722" s="194">
        <v>1190803</v>
      </c>
      <c r="E722" s="194">
        <v>34997</v>
      </c>
      <c r="F722" s="194">
        <v>27714</v>
      </c>
      <c r="G722" s="194">
        <f>G724+G725+G726</f>
        <v>20000</v>
      </c>
      <c r="H722" s="194">
        <f t="shared" si="73"/>
        <v>1273514</v>
      </c>
      <c r="I722" s="194">
        <v>1282600</v>
      </c>
      <c r="J722" s="194">
        <f t="shared" si="69"/>
        <v>91797</v>
      </c>
      <c r="K722" s="887">
        <f t="shared" si="70"/>
        <v>7.7088317715020879E-2</v>
      </c>
      <c r="L722" s="194">
        <f t="shared" si="71"/>
        <v>9086</v>
      </c>
      <c r="M722" s="887">
        <f t="shared" si="72"/>
        <v>7.1345898042738439E-3</v>
      </c>
    </row>
    <row r="723" spans="1:13" s="486" customFormat="1" x14ac:dyDescent="0.2">
      <c r="A723" s="503"/>
      <c r="B723" s="503"/>
      <c r="C723" s="103" t="s">
        <v>119</v>
      </c>
      <c r="D723" s="728">
        <v>755737</v>
      </c>
      <c r="E723" s="567">
        <v>26156</v>
      </c>
      <c r="F723" s="567">
        <v>7000</v>
      </c>
      <c r="G723" s="567">
        <f>G725+G727</f>
        <v>0</v>
      </c>
      <c r="H723" s="567">
        <f t="shared" si="73"/>
        <v>788893</v>
      </c>
      <c r="I723" s="567">
        <v>816024</v>
      </c>
      <c r="J723" s="567">
        <f t="shared" si="69"/>
        <v>60287</v>
      </c>
      <c r="K723" s="878">
        <f t="shared" si="70"/>
        <v>7.9772460525288566E-2</v>
      </c>
      <c r="L723" s="567">
        <f t="shared" si="71"/>
        <v>27131</v>
      </c>
      <c r="M723" s="878">
        <f t="shared" si="72"/>
        <v>3.4391229228805428E-2</v>
      </c>
    </row>
    <row r="724" spans="1:13" s="56" customFormat="1" x14ac:dyDescent="0.2">
      <c r="A724" s="503"/>
      <c r="B724" s="503"/>
      <c r="C724" s="295" t="s">
        <v>780</v>
      </c>
      <c r="D724" s="612">
        <v>372303</v>
      </c>
      <c r="E724" s="612">
        <v>28660</v>
      </c>
      <c r="F724" s="612">
        <v>27714</v>
      </c>
      <c r="G724" s="612"/>
      <c r="H724" s="612">
        <v>428677</v>
      </c>
      <c r="I724" s="612">
        <v>456495</v>
      </c>
      <c r="J724" s="612">
        <f t="shared" si="69"/>
        <v>84192</v>
      </c>
      <c r="K724" s="880">
        <f t="shared" si="70"/>
        <v>0.22613838728132732</v>
      </c>
      <c r="L724" s="612">
        <f t="shared" si="71"/>
        <v>27818</v>
      </c>
      <c r="M724" s="880">
        <f t="shared" si="72"/>
        <v>6.4892681436139563E-2</v>
      </c>
    </row>
    <row r="725" spans="1:13" s="486" customFormat="1" x14ac:dyDescent="0.2">
      <c r="A725" s="503"/>
      <c r="B725" s="503"/>
      <c r="C725" s="734" t="s">
        <v>119</v>
      </c>
      <c r="D725" s="206">
        <v>247803</v>
      </c>
      <c r="E725" s="612">
        <v>21420</v>
      </c>
      <c r="F725" s="612">
        <v>0</v>
      </c>
      <c r="G725" s="612"/>
      <c r="H725" s="612">
        <v>269223</v>
      </c>
      <c r="I725" s="612">
        <v>302407</v>
      </c>
      <c r="J725" s="612">
        <f t="shared" si="69"/>
        <v>54604</v>
      </c>
      <c r="K725" s="880">
        <f t="shared" si="70"/>
        <v>0.22035245739559248</v>
      </c>
      <c r="L725" s="612">
        <f t="shared" si="71"/>
        <v>33184</v>
      </c>
      <c r="M725" s="880">
        <f t="shared" si="72"/>
        <v>0.12325841402851911</v>
      </c>
    </row>
    <row r="726" spans="1:13" s="486" customFormat="1" x14ac:dyDescent="0.2">
      <c r="A726" s="503"/>
      <c r="B726" s="503"/>
      <c r="C726" s="296" t="s">
        <v>781</v>
      </c>
      <c r="D726" s="612">
        <v>818500</v>
      </c>
      <c r="E726" s="612">
        <v>6337</v>
      </c>
      <c r="F726" s="612">
        <v>0</v>
      </c>
      <c r="G726" s="612">
        <v>20000</v>
      </c>
      <c r="H726" s="612">
        <v>844837</v>
      </c>
      <c r="I726" s="612">
        <v>826105</v>
      </c>
      <c r="J726" s="612">
        <f t="shared" ref="J726:J784" si="74">I726-D726</f>
        <v>7605</v>
      </c>
      <c r="K726" s="880">
        <f t="shared" ref="K726:K784" si="75">J726/D726</f>
        <v>9.2913866829566275E-3</v>
      </c>
      <c r="L726" s="612">
        <f t="shared" ref="L726:L784" si="76">I726-H726</f>
        <v>-18732</v>
      </c>
      <c r="M726" s="880">
        <f t="shared" ref="M726:M784" si="77">L726/H726</f>
        <v>-2.21723243655285E-2</v>
      </c>
    </row>
    <row r="727" spans="1:13" s="486" customFormat="1" x14ac:dyDescent="0.2">
      <c r="A727" s="503"/>
      <c r="B727" s="503"/>
      <c r="C727" s="734" t="s">
        <v>119</v>
      </c>
      <c r="D727" s="608">
        <v>507934</v>
      </c>
      <c r="E727" s="609">
        <v>8796</v>
      </c>
      <c r="F727" s="609">
        <v>2940</v>
      </c>
      <c r="G727" s="609"/>
      <c r="H727" s="609">
        <v>519670</v>
      </c>
      <c r="I727" s="609">
        <v>513617</v>
      </c>
      <c r="J727" s="609">
        <f t="shared" si="74"/>
        <v>5683</v>
      </c>
      <c r="K727" s="932">
        <f t="shared" si="75"/>
        <v>1.1188461493028622E-2</v>
      </c>
      <c r="L727" s="609">
        <f t="shared" si="76"/>
        <v>-6053</v>
      </c>
      <c r="M727" s="932">
        <f t="shared" si="77"/>
        <v>-1.1647776473531279E-2</v>
      </c>
    </row>
    <row r="728" spans="1:13" s="486" customFormat="1" x14ac:dyDescent="0.2">
      <c r="A728" s="503"/>
      <c r="B728" s="503"/>
      <c r="C728" s="296"/>
      <c r="D728" s="612"/>
      <c r="E728" s="612"/>
      <c r="F728" s="612">
        <v>0</v>
      </c>
      <c r="G728" s="612"/>
      <c r="H728" s="612">
        <f t="shared" ref="H728:H790" si="78">D728+E728+F728+G728</f>
        <v>0</v>
      </c>
      <c r="I728" s="612">
        <v>0</v>
      </c>
      <c r="J728" s="612">
        <f t="shared" si="74"/>
        <v>0</v>
      </c>
      <c r="K728" s="880"/>
      <c r="L728" s="612">
        <f t="shared" si="76"/>
        <v>0</v>
      </c>
      <c r="M728" s="880"/>
    </row>
    <row r="729" spans="1:13" s="486" customFormat="1" x14ac:dyDescent="0.2">
      <c r="A729" s="503"/>
      <c r="B729" s="503"/>
      <c r="C729" s="105" t="s">
        <v>196</v>
      </c>
      <c r="D729" s="612"/>
      <c r="E729" s="612"/>
      <c r="F729" s="612">
        <v>0</v>
      </c>
      <c r="G729" s="612"/>
      <c r="H729" s="612">
        <f t="shared" si="78"/>
        <v>0</v>
      </c>
      <c r="I729" s="612">
        <v>0</v>
      </c>
      <c r="J729" s="612">
        <f t="shared" si="74"/>
        <v>0</v>
      </c>
      <c r="K729" s="880"/>
      <c r="L729" s="612">
        <f t="shared" si="76"/>
        <v>0</v>
      </c>
      <c r="M729" s="880"/>
    </row>
    <row r="730" spans="1:13" ht="25.5" x14ac:dyDescent="0.2">
      <c r="C730" s="106" t="s">
        <v>933</v>
      </c>
      <c r="D730" s="612"/>
      <c r="E730" s="612"/>
      <c r="F730" s="601">
        <v>67801</v>
      </c>
      <c r="G730" s="601">
        <v>88850</v>
      </c>
      <c r="H730" s="601">
        <f t="shared" si="78"/>
        <v>156651</v>
      </c>
      <c r="I730" s="601">
        <v>162000</v>
      </c>
      <c r="J730" s="601">
        <f t="shared" si="74"/>
        <v>162000</v>
      </c>
      <c r="K730" s="757"/>
      <c r="L730" s="601">
        <f t="shared" si="76"/>
        <v>5349</v>
      </c>
      <c r="M730" s="757">
        <f t="shared" si="77"/>
        <v>3.4145967788268186E-2</v>
      </c>
    </row>
    <row r="731" spans="1:13" x14ac:dyDescent="0.2">
      <c r="C731" s="103" t="s">
        <v>119</v>
      </c>
      <c r="D731" s="206"/>
      <c r="E731" s="612"/>
      <c r="F731" s="567">
        <v>38000</v>
      </c>
      <c r="G731" s="781">
        <v>38947</v>
      </c>
      <c r="H731" s="567">
        <f t="shared" si="78"/>
        <v>76947</v>
      </c>
      <c r="I731" s="567">
        <v>76000</v>
      </c>
      <c r="J731" s="567">
        <f t="shared" si="74"/>
        <v>76000</v>
      </c>
      <c r="K731" s="878"/>
      <c r="L731" s="567">
        <f t="shared" si="76"/>
        <v>-947</v>
      </c>
      <c r="M731" s="878">
        <f t="shared" si="77"/>
        <v>-1.2307172469362028E-2</v>
      </c>
    </row>
    <row r="732" spans="1:13" x14ac:dyDescent="0.2">
      <c r="C732" s="106"/>
      <c r="D732" s="194"/>
      <c r="E732" s="194"/>
      <c r="F732" s="194">
        <v>0</v>
      </c>
      <c r="G732" s="194"/>
      <c r="H732" s="194">
        <f t="shared" si="78"/>
        <v>0</v>
      </c>
      <c r="I732" s="194">
        <v>0</v>
      </c>
      <c r="J732" s="194">
        <f t="shared" si="74"/>
        <v>0</v>
      </c>
      <c r="K732" s="887"/>
      <c r="L732" s="194">
        <f t="shared" si="76"/>
        <v>0</v>
      </c>
      <c r="M732" s="887"/>
    </row>
    <row r="733" spans="1:13" x14ac:dyDescent="0.2">
      <c r="C733" s="105" t="s">
        <v>196</v>
      </c>
      <c r="D733" s="566"/>
      <c r="E733" s="566"/>
      <c r="F733" s="566">
        <v>0</v>
      </c>
      <c r="G733" s="566"/>
      <c r="H733" s="566">
        <f t="shared" si="78"/>
        <v>0</v>
      </c>
      <c r="I733" s="566">
        <v>0</v>
      </c>
      <c r="J733" s="566">
        <f t="shared" si="74"/>
        <v>0</v>
      </c>
      <c r="K733" s="816"/>
      <c r="L733" s="566">
        <f t="shared" si="76"/>
        <v>0</v>
      </c>
      <c r="M733" s="816"/>
    </row>
    <row r="734" spans="1:13" x14ac:dyDescent="0.2">
      <c r="C734" s="300" t="s">
        <v>657</v>
      </c>
      <c r="D734" s="480">
        <v>1220597</v>
      </c>
      <c r="E734" s="480">
        <v>13784</v>
      </c>
      <c r="F734" s="480">
        <v>0</v>
      </c>
      <c r="G734" s="480">
        <v>12307</v>
      </c>
      <c r="H734" s="480">
        <f t="shared" si="78"/>
        <v>1246688</v>
      </c>
      <c r="I734" s="480">
        <v>1259138</v>
      </c>
      <c r="J734" s="480">
        <f t="shared" si="74"/>
        <v>38541</v>
      </c>
      <c r="K734" s="868">
        <f t="shared" si="75"/>
        <v>3.1575532300996974E-2</v>
      </c>
      <c r="L734" s="480">
        <f t="shared" si="76"/>
        <v>12450</v>
      </c>
      <c r="M734" s="868">
        <f t="shared" si="77"/>
        <v>9.9864601247465282E-3</v>
      </c>
    </row>
    <row r="735" spans="1:13" x14ac:dyDescent="0.2">
      <c r="C735" s="103" t="s">
        <v>119</v>
      </c>
      <c r="D735" s="728">
        <v>797644</v>
      </c>
      <c r="E735" s="567">
        <v>10302</v>
      </c>
      <c r="F735" s="567">
        <v>0</v>
      </c>
      <c r="G735" s="567"/>
      <c r="H735" s="567">
        <f t="shared" si="78"/>
        <v>807946</v>
      </c>
      <c r="I735" s="567">
        <v>826446</v>
      </c>
      <c r="J735" s="567">
        <f t="shared" si="74"/>
        <v>28802</v>
      </c>
      <c r="K735" s="878">
        <f t="shared" si="75"/>
        <v>3.6108840535376684E-2</v>
      </c>
      <c r="L735" s="567">
        <f t="shared" si="76"/>
        <v>18500</v>
      </c>
      <c r="M735" s="878">
        <f t="shared" si="77"/>
        <v>2.2897569887096413E-2</v>
      </c>
    </row>
    <row r="736" spans="1:13" x14ac:dyDescent="0.2">
      <c r="C736" s="283"/>
      <c r="D736" s="492"/>
      <c r="E736" s="492"/>
      <c r="F736" s="492">
        <v>0</v>
      </c>
      <c r="G736" s="492"/>
      <c r="H736" s="492">
        <f t="shared" si="78"/>
        <v>0</v>
      </c>
      <c r="I736" s="492">
        <v>0</v>
      </c>
      <c r="J736" s="492">
        <f t="shared" si="74"/>
        <v>0</v>
      </c>
      <c r="K736" s="931"/>
      <c r="L736" s="492">
        <f t="shared" si="76"/>
        <v>0</v>
      </c>
      <c r="M736" s="931"/>
    </row>
    <row r="737" spans="1:13" x14ac:dyDescent="0.2">
      <c r="C737" s="105" t="s">
        <v>196</v>
      </c>
      <c r="D737" s="566"/>
      <c r="E737" s="566"/>
      <c r="F737" s="566">
        <v>0</v>
      </c>
      <c r="G737" s="566"/>
      <c r="H737" s="566">
        <f t="shared" si="78"/>
        <v>0</v>
      </c>
      <c r="I737" s="566">
        <v>0</v>
      </c>
      <c r="J737" s="566">
        <f t="shared" si="74"/>
        <v>0</v>
      </c>
      <c r="K737" s="816"/>
      <c r="L737" s="566">
        <f t="shared" si="76"/>
        <v>0</v>
      </c>
      <c r="M737" s="816"/>
    </row>
    <row r="738" spans="1:13" x14ac:dyDescent="0.2">
      <c r="C738" s="300" t="s">
        <v>493</v>
      </c>
      <c r="D738" s="480">
        <v>11340</v>
      </c>
      <c r="E738" s="480"/>
      <c r="F738" s="480">
        <v>0</v>
      </c>
      <c r="G738" s="480"/>
      <c r="H738" s="480">
        <f t="shared" si="78"/>
        <v>11340</v>
      </c>
      <c r="I738" s="480">
        <v>11340</v>
      </c>
      <c r="J738" s="480">
        <f t="shared" si="74"/>
        <v>0</v>
      </c>
      <c r="K738" s="868">
        <f t="shared" si="75"/>
        <v>0</v>
      </c>
      <c r="L738" s="480">
        <f t="shared" si="76"/>
        <v>0</v>
      </c>
      <c r="M738" s="868">
        <f t="shared" si="77"/>
        <v>0</v>
      </c>
    </row>
    <row r="739" spans="1:13" x14ac:dyDescent="0.2">
      <c r="C739" s="106"/>
      <c r="D739" s="194"/>
      <c r="E739" s="194"/>
      <c r="F739" s="194">
        <v>0</v>
      </c>
      <c r="G739" s="194"/>
      <c r="H739" s="194">
        <f t="shared" si="78"/>
        <v>0</v>
      </c>
      <c r="I739" s="194">
        <v>0</v>
      </c>
      <c r="J739" s="194">
        <f t="shared" si="74"/>
        <v>0</v>
      </c>
      <c r="K739" s="887"/>
      <c r="L739" s="194">
        <f t="shared" si="76"/>
        <v>0</v>
      </c>
      <c r="M739" s="887"/>
    </row>
    <row r="740" spans="1:13" x14ac:dyDescent="0.2">
      <c r="C740" s="105" t="s">
        <v>196</v>
      </c>
      <c r="D740" s="566"/>
      <c r="E740" s="566"/>
      <c r="F740" s="566">
        <v>0</v>
      </c>
      <c r="G740" s="566"/>
      <c r="H740" s="566">
        <f t="shared" si="78"/>
        <v>0</v>
      </c>
      <c r="I740" s="566">
        <v>0</v>
      </c>
      <c r="J740" s="566">
        <f t="shared" si="74"/>
        <v>0</v>
      </c>
      <c r="K740" s="816"/>
      <c r="L740" s="566">
        <f t="shared" si="76"/>
        <v>0</v>
      </c>
      <c r="M740" s="816"/>
    </row>
    <row r="741" spans="1:13" s="486" customFormat="1" ht="24" x14ac:dyDescent="0.2">
      <c r="A741" s="503"/>
      <c r="B741" s="503"/>
      <c r="C741" s="106" t="s">
        <v>658</v>
      </c>
      <c r="D741" s="194">
        <v>811986</v>
      </c>
      <c r="E741" s="194">
        <v>2698</v>
      </c>
      <c r="F741" s="194">
        <v>252000</v>
      </c>
      <c r="G741" s="194">
        <v>131844</v>
      </c>
      <c r="H741" s="194">
        <f t="shared" si="78"/>
        <v>1198528</v>
      </c>
      <c r="I741" s="194">
        <v>1012204</v>
      </c>
      <c r="J741" s="194">
        <f t="shared" si="74"/>
        <v>200218</v>
      </c>
      <c r="K741" s="887">
        <f t="shared" si="75"/>
        <v>0.24657814297290839</v>
      </c>
      <c r="L741" s="194">
        <f t="shared" si="76"/>
        <v>-186324</v>
      </c>
      <c r="M741" s="887">
        <f t="shared" si="77"/>
        <v>-0.15546069845677365</v>
      </c>
    </row>
    <row r="742" spans="1:13" s="486" customFormat="1" x14ac:dyDescent="0.2">
      <c r="A742" s="503"/>
      <c r="B742" s="503"/>
      <c r="C742" s="103" t="s">
        <v>119</v>
      </c>
      <c r="D742" s="728">
        <v>460515</v>
      </c>
      <c r="E742" s="567">
        <v>2016</v>
      </c>
      <c r="F742" s="567">
        <v>93171</v>
      </c>
      <c r="G742" s="567"/>
      <c r="H742" s="567">
        <f t="shared" si="78"/>
        <v>555702</v>
      </c>
      <c r="I742" s="567">
        <v>555702</v>
      </c>
      <c r="J742" s="567">
        <f t="shared" si="74"/>
        <v>95187</v>
      </c>
      <c r="K742" s="878">
        <f t="shared" si="75"/>
        <v>0.20669685026546367</v>
      </c>
      <c r="L742" s="567">
        <f t="shared" si="76"/>
        <v>0</v>
      </c>
      <c r="M742" s="878">
        <f t="shared" si="77"/>
        <v>0</v>
      </c>
    </row>
    <row r="743" spans="1:13" s="486" customFormat="1" x14ac:dyDescent="0.2">
      <c r="A743" s="503"/>
      <c r="B743" s="503"/>
      <c r="C743" s="103"/>
      <c r="D743" s="567"/>
      <c r="E743" s="567"/>
      <c r="F743" s="567">
        <v>0</v>
      </c>
      <c r="G743" s="567"/>
      <c r="H743" s="567">
        <f t="shared" si="78"/>
        <v>0</v>
      </c>
      <c r="I743" s="567">
        <v>0</v>
      </c>
      <c r="J743" s="567">
        <f t="shared" si="74"/>
        <v>0</v>
      </c>
      <c r="K743" s="878"/>
      <c r="L743" s="567">
        <f t="shared" si="76"/>
        <v>0</v>
      </c>
      <c r="M743" s="878"/>
    </row>
    <row r="744" spans="1:13" s="486" customFormat="1" x14ac:dyDescent="0.2">
      <c r="A744" s="503"/>
      <c r="B744" s="503"/>
      <c r="C744" s="105" t="s">
        <v>196</v>
      </c>
      <c r="D744" s="567"/>
      <c r="E744" s="567"/>
      <c r="F744" s="567">
        <v>0</v>
      </c>
      <c r="G744" s="567"/>
      <c r="H744" s="567">
        <f t="shared" si="78"/>
        <v>0</v>
      </c>
      <c r="I744" s="567">
        <v>0</v>
      </c>
      <c r="J744" s="567">
        <f t="shared" si="74"/>
        <v>0</v>
      </c>
      <c r="K744" s="878"/>
      <c r="L744" s="567">
        <f t="shared" si="76"/>
        <v>0</v>
      </c>
      <c r="M744" s="878"/>
    </row>
    <row r="745" spans="1:13" s="486" customFormat="1" x14ac:dyDescent="0.2">
      <c r="A745" s="503"/>
      <c r="B745" s="503"/>
      <c r="C745" s="508" t="s">
        <v>934</v>
      </c>
      <c r="D745" s="567"/>
      <c r="E745" s="567"/>
      <c r="F745" s="601">
        <v>4800</v>
      </c>
      <c r="G745" s="601"/>
      <c r="H745" s="601">
        <f t="shared" si="78"/>
        <v>4800</v>
      </c>
      <c r="I745" s="601">
        <v>41300</v>
      </c>
      <c r="J745" s="601">
        <f t="shared" si="74"/>
        <v>41300</v>
      </c>
      <c r="K745" s="757"/>
      <c r="L745" s="601">
        <f t="shared" si="76"/>
        <v>36500</v>
      </c>
      <c r="M745" s="757">
        <f t="shared" si="77"/>
        <v>7.604166666666667</v>
      </c>
    </row>
    <row r="746" spans="1:13" s="486" customFormat="1" x14ac:dyDescent="0.2">
      <c r="A746" s="503"/>
      <c r="B746" s="503"/>
      <c r="C746" s="103" t="s">
        <v>119</v>
      </c>
      <c r="D746" s="728"/>
      <c r="E746" s="567"/>
      <c r="F746" s="567">
        <v>2770</v>
      </c>
      <c r="G746" s="567"/>
      <c r="H746" s="567">
        <f t="shared" si="78"/>
        <v>2770</v>
      </c>
      <c r="I746" s="567">
        <v>25000</v>
      </c>
      <c r="J746" s="567">
        <f t="shared" si="74"/>
        <v>25000</v>
      </c>
      <c r="K746" s="878"/>
      <c r="L746" s="567">
        <f t="shared" si="76"/>
        <v>22230</v>
      </c>
      <c r="M746" s="878">
        <f t="shared" si="77"/>
        <v>8.025270758122744</v>
      </c>
    </row>
    <row r="747" spans="1:13" s="486" customFormat="1" x14ac:dyDescent="0.2">
      <c r="A747" s="503"/>
      <c r="B747" s="503"/>
      <c r="C747" s="103"/>
      <c r="D747" s="567"/>
      <c r="E747" s="567"/>
      <c r="F747" s="567">
        <v>0</v>
      </c>
      <c r="G747" s="567"/>
      <c r="H747" s="567">
        <f t="shared" si="78"/>
        <v>0</v>
      </c>
      <c r="I747" s="567">
        <v>0</v>
      </c>
      <c r="J747" s="567">
        <f t="shared" si="74"/>
        <v>0</v>
      </c>
      <c r="K747" s="878"/>
      <c r="L747" s="567">
        <f t="shared" si="76"/>
        <v>0</v>
      </c>
      <c r="M747" s="878"/>
    </row>
    <row r="748" spans="1:13" s="486" customFormat="1" x14ac:dyDescent="0.2">
      <c r="A748" s="503"/>
      <c r="B748" s="503"/>
      <c r="C748" s="105" t="s">
        <v>196</v>
      </c>
      <c r="D748" s="567"/>
      <c r="E748" s="567"/>
      <c r="F748" s="567">
        <v>0</v>
      </c>
      <c r="G748" s="567"/>
      <c r="H748" s="567">
        <f t="shared" si="78"/>
        <v>0</v>
      </c>
      <c r="I748" s="567">
        <v>0</v>
      </c>
      <c r="J748" s="567">
        <f t="shared" si="74"/>
        <v>0</v>
      </c>
      <c r="K748" s="878"/>
      <c r="L748" s="567">
        <f t="shared" si="76"/>
        <v>0</v>
      </c>
      <c r="M748" s="878"/>
    </row>
    <row r="749" spans="1:13" ht="36.75" x14ac:dyDescent="0.2">
      <c r="C749" s="508" t="s">
        <v>935</v>
      </c>
      <c r="D749" s="567"/>
      <c r="E749" s="567"/>
      <c r="F749" s="601">
        <v>37333</v>
      </c>
      <c r="G749" s="601"/>
      <c r="H749" s="601">
        <f t="shared" si="78"/>
        <v>37333</v>
      </c>
      <c r="I749" s="601">
        <v>62136</v>
      </c>
      <c r="J749" s="601">
        <f t="shared" si="74"/>
        <v>62136</v>
      </c>
      <c r="K749" s="757"/>
      <c r="L749" s="601">
        <f t="shared" si="76"/>
        <v>24803</v>
      </c>
      <c r="M749" s="757">
        <f t="shared" si="77"/>
        <v>0.66437200332145818</v>
      </c>
    </row>
    <row r="750" spans="1:13" x14ac:dyDescent="0.2">
      <c r="C750" s="103" t="s">
        <v>119</v>
      </c>
      <c r="D750" s="728"/>
      <c r="E750" s="567"/>
      <c r="F750" s="567">
        <v>22321</v>
      </c>
      <c r="G750" s="567"/>
      <c r="H750" s="567">
        <f t="shared" si="78"/>
        <v>22321</v>
      </c>
      <c r="I750" s="567">
        <v>39474</v>
      </c>
      <c r="J750" s="567">
        <f t="shared" si="74"/>
        <v>39474</v>
      </c>
      <c r="K750" s="878"/>
      <c r="L750" s="567">
        <f t="shared" si="76"/>
        <v>17153</v>
      </c>
      <c r="M750" s="878">
        <f t="shared" si="77"/>
        <v>0.76846915460776843</v>
      </c>
    </row>
    <row r="751" spans="1:13" x14ac:dyDescent="0.2">
      <c r="C751" s="283"/>
      <c r="D751" s="217"/>
      <c r="E751" s="217"/>
      <c r="F751" s="492">
        <v>0</v>
      </c>
      <c r="G751" s="492"/>
      <c r="H751" s="492">
        <f t="shared" si="78"/>
        <v>0</v>
      </c>
      <c r="I751" s="492">
        <v>0</v>
      </c>
      <c r="J751" s="492">
        <f t="shared" si="74"/>
        <v>0</v>
      </c>
      <c r="K751" s="931"/>
      <c r="L751" s="492">
        <f t="shared" si="76"/>
        <v>0</v>
      </c>
      <c r="M751" s="931"/>
    </row>
    <row r="752" spans="1:13" ht="25.5" x14ac:dyDescent="0.2">
      <c r="C752" s="301" t="s">
        <v>217</v>
      </c>
      <c r="D752" s="655">
        <f>D755+D758+D761+D764+D767+D772+D775+D778</f>
        <v>4134996</v>
      </c>
      <c r="E752" s="655">
        <f>E755+E758+E761+E764+E767+E772+E775+E778</f>
        <v>114481</v>
      </c>
      <c r="F752" s="655">
        <f>F755+F758+F761+F764+F767+F772+F775+F778</f>
        <v>41200</v>
      </c>
      <c r="G752" s="655">
        <f>G755+G758+G761+G764+G767+G772+G775+G778</f>
        <v>0</v>
      </c>
      <c r="H752" s="655">
        <f t="shared" si="78"/>
        <v>4290677</v>
      </c>
      <c r="I752" s="655">
        <v>4469613</v>
      </c>
      <c r="J752" s="655">
        <f t="shared" si="74"/>
        <v>334617</v>
      </c>
      <c r="K752" s="934">
        <f t="shared" si="75"/>
        <v>8.0923173807181434E-2</v>
      </c>
      <c r="L752" s="655">
        <f t="shared" si="76"/>
        <v>178936</v>
      </c>
      <c r="M752" s="934">
        <f t="shared" si="77"/>
        <v>4.1703442137452904E-2</v>
      </c>
    </row>
    <row r="753" spans="3:13" x14ac:dyDescent="0.2">
      <c r="C753" s="98" t="s">
        <v>119</v>
      </c>
      <c r="D753" s="728">
        <f>D779</f>
        <v>1694169</v>
      </c>
      <c r="E753" s="567">
        <f>E779</f>
        <v>85561</v>
      </c>
      <c r="F753" s="567">
        <f>F779</f>
        <v>28370</v>
      </c>
      <c r="G753" s="781">
        <f>G779</f>
        <v>10000</v>
      </c>
      <c r="H753" s="567">
        <f t="shared" si="78"/>
        <v>1818100</v>
      </c>
      <c r="I753" s="567">
        <v>1882442</v>
      </c>
      <c r="J753" s="567">
        <f t="shared" si="74"/>
        <v>188273</v>
      </c>
      <c r="K753" s="878">
        <f t="shared" si="75"/>
        <v>0.11112999942744792</v>
      </c>
      <c r="L753" s="567">
        <f t="shared" si="76"/>
        <v>64342</v>
      </c>
      <c r="M753" s="878">
        <f t="shared" si="77"/>
        <v>3.5389692536164127E-2</v>
      </c>
    </row>
    <row r="754" spans="3:13" x14ac:dyDescent="0.2">
      <c r="C754" s="105" t="s">
        <v>196</v>
      </c>
      <c r="D754" s="566"/>
      <c r="E754" s="566"/>
      <c r="F754" s="566">
        <v>0</v>
      </c>
      <c r="G754" s="566"/>
      <c r="H754" s="566">
        <f t="shared" si="78"/>
        <v>0</v>
      </c>
      <c r="I754" s="566">
        <v>0</v>
      </c>
      <c r="J754" s="566">
        <f t="shared" si="74"/>
        <v>0</v>
      </c>
      <c r="K754" s="816"/>
      <c r="L754" s="566">
        <f t="shared" si="76"/>
        <v>0</v>
      </c>
      <c r="M754" s="816"/>
    </row>
    <row r="755" spans="3:13" ht="25.5" x14ac:dyDescent="0.2">
      <c r="C755" s="106" t="s">
        <v>218</v>
      </c>
      <c r="D755" s="194">
        <v>235070</v>
      </c>
      <c r="E755" s="194"/>
      <c r="F755" s="194">
        <v>0</v>
      </c>
      <c r="G755" s="194"/>
      <c r="H755" s="194">
        <f t="shared" si="78"/>
        <v>235070</v>
      </c>
      <c r="I755" s="194">
        <v>235070</v>
      </c>
      <c r="J755" s="194">
        <f t="shared" si="74"/>
        <v>0</v>
      </c>
      <c r="K755" s="887">
        <f t="shared" si="75"/>
        <v>0</v>
      </c>
      <c r="L755" s="194">
        <f t="shared" si="76"/>
        <v>0</v>
      </c>
      <c r="M755" s="887">
        <f t="shared" si="77"/>
        <v>0</v>
      </c>
    </row>
    <row r="756" spans="3:13" x14ac:dyDescent="0.2">
      <c r="C756" s="371"/>
      <c r="D756" s="616"/>
      <c r="E756" s="616"/>
      <c r="F756" s="616">
        <v>0</v>
      </c>
      <c r="G756" s="616"/>
      <c r="H756" s="194">
        <f t="shared" si="78"/>
        <v>0</v>
      </c>
      <c r="I756" s="194">
        <v>0</v>
      </c>
      <c r="J756" s="194">
        <f t="shared" si="74"/>
        <v>0</v>
      </c>
      <c r="K756" s="887"/>
      <c r="L756" s="194">
        <f t="shared" si="76"/>
        <v>0</v>
      </c>
      <c r="M756" s="887"/>
    </row>
    <row r="757" spans="3:13" x14ac:dyDescent="0.2">
      <c r="C757" s="105" t="s">
        <v>196</v>
      </c>
      <c r="D757" s="566"/>
      <c r="E757" s="566"/>
      <c r="F757" s="566">
        <v>0</v>
      </c>
      <c r="G757" s="566"/>
      <c r="H757" s="194">
        <f t="shared" si="78"/>
        <v>0</v>
      </c>
      <c r="I757" s="194">
        <v>0</v>
      </c>
      <c r="J757" s="194">
        <f t="shared" si="74"/>
        <v>0</v>
      </c>
      <c r="K757" s="887"/>
      <c r="L757" s="194">
        <f t="shared" si="76"/>
        <v>0</v>
      </c>
      <c r="M757" s="887"/>
    </row>
    <row r="758" spans="3:13" x14ac:dyDescent="0.2">
      <c r="C758" s="106" t="s">
        <v>219</v>
      </c>
      <c r="D758" s="194">
        <v>185310</v>
      </c>
      <c r="E758" s="194"/>
      <c r="F758" s="194">
        <v>0</v>
      </c>
      <c r="G758" s="194"/>
      <c r="H758" s="194">
        <f t="shared" si="78"/>
        <v>185310</v>
      </c>
      <c r="I758" s="194">
        <v>185310</v>
      </c>
      <c r="J758" s="194">
        <f t="shared" si="74"/>
        <v>0</v>
      </c>
      <c r="K758" s="887">
        <f t="shared" si="75"/>
        <v>0</v>
      </c>
      <c r="L758" s="194">
        <f t="shared" si="76"/>
        <v>0</v>
      </c>
      <c r="M758" s="887">
        <f t="shared" si="77"/>
        <v>0</v>
      </c>
    </row>
    <row r="759" spans="3:13" x14ac:dyDescent="0.2">
      <c r="C759" s="371"/>
      <c r="D759" s="616"/>
      <c r="E759" s="616"/>
      <c r="F759" s="616">
        <v>0</v>
      </c>
      <c r="G759" s="616"/>
      <c r="H759" s="194">
        <f t="shared" si="78"/>
        <v>0</v>
      </c>
      <c r="I759" s="194">
        <v>0</v>
      </c>
      <c r="J759" s="194">
        <f t="shared" si="74"/>
        <v>0</v>
      </c>
      <c r="K759" s="887"/>
      <c r="L759" s="194">
        <f t="shared" si="76"/>
        <v>0</v>
      </c>
      <c r="M759" s="887"/>
    </row>
    <row r="760" spans="3:13" x14ac:dyDescent="0.2">
      <c r="C760" s="105" t="s">
        <v>196</v>
      </c>
      <c r="D760" s="566"/>
      <c r="E760" s="566"/>
      <c r="F760" s="566">
        <v>0</v>
      </c>
      <c r="G760" s="566"/>
      <c r="H760" s="194">
        <f t="shared" si="78"/>
        <v>0</v>
      </c>
      <c r="I760" s="194">
        <v>0</v>
      </c>
      <c r="J760" s="194">
        <f t="shared" si="74"/>
        <v>0</v>
      </c>
      <c r="K760" s="887"/>
      <c r="L760" s="194">
        <f t="shared" si="76"/>
        <v>0</v>
      </c>
      <c r="M760" s="887"/>
    </row>
    <row r="761" spans="3:13" x14ac:dyDescent="0.2">
      <c r="C761" s="106" t="s">
        <v>220</v>
      </c>
      <c r="D761" s="194">
        <v>155050</v>
      </c>
      <c r="E761" s="194"/>
      <c r="F761" s="194">
        <v>0</v>
      </c>
      <c r="G761" s="194"/>
      <c r="H761" s="194">
        <f t="shared" si="78"/>
        <v>155050</v>
      </c>
      <c r="I761" s="194">
        <v>155050</v>
      </c>
      <c r="J761" s="194">
        <f t="shared" si="74"/>
        <v>0</v>
      </c>
      <c r="K761" s="887">
        <f t="shared" si="75"/>
        <v>0</v>
      </c>
      <c r="L761" s="194">
        <f t="shared" si="76"/>
        <v>0</v>
      </c>
      <c r="M761" s="887">
        <f t="shared" si="77"/>
        <v>0</v>
      </c>
    </row>
    <row r="762" spans="3:13" x14ac:dyDescent="0.2">
      <c r="C762" s="108"/>
      <c r="D762" s="577"/>
      <c r="E762" s="577"/>
      <c r="F762" s="577">
        <v>0</v>
      </c>
      <c r="G762" s="577"/>
      <c r="H762" s="194">
        <f t="shared" si="78"/>
        <v>0</v>
      </c>
      <c r="I762" s="194">
        <v>0</v>
      </c>
      <c r="J762" s="194">
        <f t="shared" si="74"/>
        <v>0</v>
      </c>
      <c r="K762" s="887"/>
      <c r="L762" s="194">
        <f t="shared" si="76"/>
        <v>0</v>
      </c>
      <c r="M762" s="887"/>
    </row>
    <row r="763" spans="3:13" x14ac:dyDescent="0.2">
      <c r="C763" s="105" t="s">
        <v>196</v>
      </c>
      <c r="D763" s="566"/>
      <c r="E763" s="566"/>
      <c r="F763" s="566">
        <v>0</v>
      </c>
      <c r="G763" s="566"/>
      <c r="H763" s="194">
        <f t="shared" si="78"/>
        <v>0</v>
      </c>
      <c r="I763" s="194">
        <v>0</v>
      </c>
      <c r="J763" s="194">
        <f t="shared" si="74"/>
        <v>0</v>
      </c>
      <c r="K763" s="887"/>
      <c r="L763" s="194">
        <f t="shared" si="76"/>
        <v>0</v>
      </c>
      <c r="M763" s="887"/>
    </row>
    <row r="764" spans="3:13" x14ac:dyDescent="0.2">
      <c r="C764" s="106" t="s">
        <v>221</v>
      </c>
      <c r="D764" s="194">
        <v>13000</v>
      </c>
      <c r="E764" s="194"/>
      <c r="F764" s="194">
        <v>0</v>
      </c>
      <c r="G764" s="194"/>
      <c r="H764" s="194">
        <f t="shared" si="78"/>
        <v>13000</v>
      </c>
      <c r="I764" s="194">
        <v>13000</v>
      </c>
      <c r="J764" s="194">
        <f t="shared" si="74"/>
        <v>0</v>
      </c>
      <c r="K764" s="887">
        <f t="shared" si="75"/>
        <v>0</v>
      </c>
      <c r="L764" s="194">
        <f t="shared" si="76"/>
        <v>0</v>
      </c>
      <c r="M764" s="887">
        <f t="shared" si="77"/>
        <v>0</v>
      </c>
    </row>
    <row r="765" spans="3:13" x14ac:dyDescent="0.2">
      <c r="C765" s="108"/>
      <c r="D765" s="577"/>
      <c r="E765" s="577"/>
      <c r="F765" s="577">
        <v>0</v>
      </c>
      <c r="G765" s="577"/>
      <c r="H765" s="194">
        <f t="shared" si="78"/>
        <v>0</v>
      </c>
      <c r="I765" s="194">
        <v>0</v>
      </c>
      <c r="J765" s="194">
        <f t="shared" si="74"/>
        <v>0</v>
      </c>
      <c r="K765" s="887"/>
      <c r="L765" s="194">
        <f t="shared" si="76"/>
        <v>0</v>
      </c>
      <c r="M765" s="887"/>
    </row>
    <row r="766" spans="3:13" x14ac:dyDescent="0.2">
      <c r="C766" s="105" t="s">
        <v>196</v>
      </c>
      <c r="D766" s="566"/>
      <c r="E766" s="566"/>
      <c r="F766" s="566">
        <v>0</v>
      </c>
      <c r="G766" s="566"/>
      <c r="H766" s="194">
        <f t="shared" si="78"/>
        <v>0</v>
      </c>
      <c r="I766" s="194">
        <v>0</v>
      </c>
      <c r="J766" s="194">
        <f t="shared" si="74"/>
        <v>0</v>
      </c>
      <c r="K766" s="887"/>
      <c r="L766" s="194">
        <f t="shared" si="76"/>
        <v>0</v>
      </c>
      <c r="M766" s="887"/>
    </row>
    <row r="767" spans="3:13" x14ac:dyDescent="0.2">
      <c r="C767" s="106" t="s">
        <v>222</v>
      </c>
      <c r="D767" s="194">
        <v>145670</v>
      </c>
      <c r="E767" s="194"/>
      <c r="F767" s="194">
        <v>0</v>
      </c>
      <c r="G767" s="194"/>
      <c r="H767" s="194">
        <f t="shared" si="78"/>
        <v>145670</v>
      </c>
      <c r="I767" s="194">
        <v>145670</v>
      </c>
      <c r="J767" s="194">
        <f t="shared" si="74"/>
        <v>0</v>
      </c>
      <c r="K767" s="887">
        <f t="shared" si="75"/>
        <v>0</v>
      </c>
      <c r="L767" s="194">
        <f t="shared" si="76"/>
        <v>0</v>
      </c>
      <c r="M767" s="887">
        <f t="shared" si="77"/>
        <v>0</v>
      </c>
    </row>
    <row r="768" spans="3:13" x14ac:dyDescent="0.2">
      <c r="C768" s="302" t="s">
        <v>223</v>
      </c>
      <c r="D768" s="611">
        <v>48150</v>
      </c>
      <c r="E768" s="611"/>
      <c r="F768" s="611">
        <v>0</v>
      </c>
      <c r="G768" s="611"/>
      <c r="H768" s="611">
        <f t="shared" si="78"/>
        <v>48150</v>
      </c>
      <c r="I768" s="611">
        <v>48150</v>
      </c>
      <c r="J768" s="611">
        <f t="shared" si="74"/>
        <v>0</v>
      </c>
      <c r="K768" s="880">
        <f t="shared" si="75"/>
        <v>0</v>
      </c>
      <c r="L768" s="611">
        <f t="shared" si="76"/>
        <v>0</v>
      </c>
      <c r="M768" s="880">
        <f t="shared" si="77"/>
        <v>0</v>
      </c>
    </row>
    <row r="769" spans="1:13" x14ac:dyDescent="0.2">
      <c r="C769" s="303" t="s">
        <v>224</v>
      </c>
      <c r="D769" s="611">
        <v>97520</v>
      </c>
      <c r="E769" s="611"/>
      <c r="F769" s="611">
        <v>0</v>
      </c>
      <c r="G769" s="611"/>
      <c r="H769" s="611">
        <f t="shared" si="78"/>
        <v>97520</v>
      </c>
      <c r="I769" s="611">
        <v>97520</v>
      </c>
      <c r="J769" s="611">
        <f t="shared" si="74"/>
        <v>0</v>
      </c>
      <c r="K769" s="880">
        <f t="shared" si="75"/>
        <v>0</v>
      </c>
      <c r="L769" s="611">
        <f t="shared" si="76"/>
        <v>0</v>
      </c>
      <c r="M769" s="880">
        <f t="shared" si="77"/>
        <v>0</v>
      </c>
    </row>
    <row r="770" spans="1:13" x14ac:dyDescent="0.2">
      <c r="C770" s="365"/>
      <c r="D770" s="615"/>
      <c r="E770" s="615"/>
      <c r="F770" s="615">
        <v>0</v>
      </c>
      <c r="G770" s="615"/>
      <c r="H770" s="615">
        <f t="shared" si="78"/>
        <v>0</v>
      </c>
      <c r="I770" s="615">
        <v>0</v>
      </c>
      <c r="J770" s="615">
        <f t="shared" si="74"/>
        <v>0</v>
      </c>
      <c r="K770" s="935"/>
      <c r="L770" s="615">
        <f t="shared" si="76"/>
        <v>0</v>
      </c>
      <c r="M770" s="935"/>
    </row>
    <row r="771" spans="1:13" x14ac:dyDescent="0.2">
      <c r="C771" s="105" t="s">
        <v>196</v>
      </c>
      <c r="D771" s="566"/>
      <c r="E771" s="566"/>
      <c r="F771" s="566">
        <v>0</v>
      </c>
      <c r="G771" s="566"/>
      <c r="H771" s="566">
        <f t="shared" si="78"/>
        <v>0</v>
      </c>
      <c r="I771" s="566">
        <v>0</v>
      </c>
      <c r="J771" s="566">
        <f t="shared" si="74"/>
        <v>0</v>
      </c>
      <c r="K771" s="816"/>
      <c r="L771" s="566">
        <f t="shared" si="76"/>
        <v>0</v>
      </c>
      <c r="M771" s="816"/>
    </row>
    <row r="772" spans="1:13" x14ac:dyDescent="0.2">
      <c r="C772" s="106" t="s">
        <v>225</v>
      </c>
      <c r="D772" s="194">
        <v>14170</v>
      </c>
      <c r="E772" s="194"/>
      <c r="F772" s="194">
        <v>0</v>
      </c>
      <c r="G772" s="194"/>
      <c r="H772" s="194">
        <f t="shared" si="78"/>
        <v>14170</v>
      </c>
      <c r="I772" s="194">
        <v>14170</v>
      </c>
      <c r="J772" s="194">
        <f t="shared" si="74"/>
        <v>0</v>
      </c>
      <c r="K772" s="887">
        <f t="shared" si="75"/>
        <v>0</v>
      </c>
      <c r="L772" s="194">
        <f t="shared" si="76"/>
        <v>0</v>
      </c>
      <c r="M772" s="887">
        <f t="shared" si="77"/>
        <v>0</v>
      </c>
    </row>
    <row r="773" spans="1:13" x14ac:dyDescent="0.2">
      <c r="C773" s="371"/>
      <c r="D773" s="616"/>
      <c r="E773" s="616"/>
      <c r="F773" s="616">
        <v>0</v>
      </c>
      <c r="G773" s="616"/>
      <c r="H773" s="194">
        <f t="shared" si="78"/>
        <v>0</v>
      </c>
      <c r="I773" s="194">
        <v>0</v>
      </c>
      <c r="J773" s="194">
        <f t="shared" si="74"/>
        <v>0</v>
      </c>
      <c r="K773" s="887"/>
      <c r="L773" s="194">
        <f t="shared" si="76"/>
        <v>0</v>
      </c>
      <c r="M773" s="887"/>
    </row>
    <row r="774" spans="1:13" x14ac:dyDescent="0.2">
      <c r="C774" s="105" t="s">
        <v>196</v>
      </c>
      <c r="D774" s="566"/>
      <c r="E774" s="566"/>
      <c r="F774" s="566">
        <v>0</v>
      </c>
      <c r="G774" s="566"/>
      <c r="H774" s="194">
        <f t="shared" si="78"/>
        <v>0</v>
      </c>
      <c r="I774" s="194">
        <v>0</v>
      </c>
      <c r="J774" s="194">
        <f t="shared" si="74"/>
        <v>0</v>
      </c>
      <c r="K774" s="887"/>
      <c r="L774" s="194">
        <f t="shared" si="76"/>
        <v>0</v>
      </c>
      <c r="M774" s="887"/>
    </row>
    <row r="775" spans="1:13" x14ac:dyDescent="0.2">
      <c r="C775" s="106" t="s">
        <v>226</v>
      </c>
      <c r="D775" s="194">
        <v>75000</v>
      </c>
      <c r="E775" s="194"/>
      <c r="F775" s="194">
        <v>30000</v>
      </c>
      <c r="G775" s="194"/>
      <c r="H775" s="194">
        <f t="shared" si="78"/>
        <v>105000</v>
      </c>
      <c r="I775" s="194">
        <v>135000</v>
      </c>
      <c r="J775" s="194">
        <f t="shared" si="74"/>
        <v>60000</v>
      </c>
      <c r="K775" s="887">
        <f t="shared" si="75"/>
        <v>0.8</v>
      </c>
      <c r="L775" s="194">
        <f t="shared" si="76"/>
        <v>30000</v>
      </c>
      <c r="M775" s="887">
        <f t="shared" si="77"/>
        <v>0.2857142857142857</v>
      </c>
    </row>
    <row r="776" spans="1:13" x14ac:dyDescent="0.2">
      <c r="C776" s="372"/>
      <c r="D776" s="672"/>
      <c r="E776" s="672"/>
      <c r="F776" s="672">
        <v>0</v>
      </c>
      <c r="G776" s="672"/>
      <c r="H776" s="194">
        <f t="shared" si="78"/>
        <v>0</v>
      </c>
      <c r="I776" s="194">
        <v>0</v>
      </c>
      <c r="J776" s="194">
        <f t="shared" si="74"/>
        <v>0</v>
      </c>
      <c r="K776" s="887"/>
      <c r="L776" s="194">
        <f t="shared" si="76"/>
        <v>0</v>
      </c>
      <c r="M776" s="887"/>
    </row>
    <row r="777" spans="1:13" x14ac:dyDescent="0.2">
      <c r="C777" s="105" t="s">
        <v>196</v>
      </c>
      <c r="D777" s="566"/>
      <c r="E777" s="566"/>
      <c r="F777" s="566">
        <v>0</v>
      </c>
      <c r="G777" s="566"/>
      <c r="H777" s="194">
        <f t="shared" si="78"/>
        <v>0</v>
      </c>
      <c r="I777" s="194">
        <v>0</v>
      </c>
      <c r="J777" s="194">
        <f t="shared" si="74"/>
        <v>0</v>
      </c>
      <c r="K777" s="887"/>
      <c r="L777" s="194">
        <f t="shared" si="76"/>
        <v>0</v>
      </c>
      <c r="M777" s="887"/>
    </row>
    <row r="778" spans="1:13" s="486" customFormat="1" ht="24" x14ac:dyDescent="0.2">
      <c r="A778" s="503"/>
      <c r="B778" s="503"/>
      <c r="C778" s="106" t="s">
        <v>659</v>
      </c>
      <c r="D778" s="194">
        <v>3311726</v>
      </c>
      <c r="E778" s="480">
        <v>114481</v>
      </c>
      <c r="F778" s="194">
        <v>11200</v>
      </c>
      <c r="G778" s="194"/>
      <c r="H778" s="194">
        <f t="shared" si="78"/>
        <v>3437407</v>
      </c>
      <c r="I778" s="194">
        <v>3551853</v>
      </c>
      <c r="J778" s="194">
        <f t="shared" si="74"/>
        <v>240127</v>
      </c>
      <c r="K778" s="887">
        <f t="shared" si="75"/>
        <v>7.2508112084151893E-2</v>
      </c>
      <c r="L778" s="194">
        <f t="shared" si="76"/>
        <v>114446</v>
      </c>
      <c r="M778" s="887">
        <f t="shared" si="77"/>
        <v>3.3294282579863249E-2</v>
      </c>
    </row>
    <row r="779" spans="1:13" s="486" customFormat="1" x14ac:dyDescent="0.2">
      <c r="A779" s="503"/>
      <c r="B779" s="503"/>
      <c r="C779" s="103" t="s">
        <v>119</v>
      </c>
      <c r="D779" s="728">
        <v>1694169</v>
      </c>
      <c r="E779" s="567">
        <v>85561</v>
      </c>
      <c r="F779" s="567">
        <v>28370</v>
      </c>
      <c r="G779" s="781">
        <v>10000</v>
      </c>
      <c r="H779" s="567">
        <f t="shared" si="78"/>
        <v>1818100</v>
      </c>
      <c r="I779" s="567">
        <v>1882442</v>
      </c>
      <c r="J779" s="567">
        <f t="shared" si="74"/>
        <v>188273</v>
      </c>
      <c r="K779" s="878">
        <f t="shared" si="75"/>
        <v>0.11112999942744792</v>
      </c>
      <c r="L779" s="567">
        <f t="shared" si="76"/>
        <v>64342</v>
      </c>
      <c r="M779" s="878">
        <f t="shared" si="77"/>
        <v>3.5389692536164127E-2</v>
      </c>
    </row>
    <row r="780" spans="1:13" s="486" customFormat="1" x14ac:dyDescent="0.2">
      <c r="A780" s="503"/>
      <c r="B780" s="503"/>
      <c r="C780" s="103"/>
      <c r="D780" s="728"/>
      <c r="E780" s="567"/>
      <c r="F780" s="567"/>
      <c r="G780" s="567"/>
      <c r="H780" s="567">
        <f t="shared" si="78"/>
        <v>0</v>
      </c>
      <c r="I780" s="567">
        <v>0</v>
      </c>
      <c r="J780" s="567">
        <f t="shared" si="74"/>
        <v>0</v>
      </c>
      <c r="K780" s="878"/>
      <c r="L780" s="567">
        <f t="shared" si="76"/>
        <v>0</v>
      </c>
      <c r="M780" s="878"/>
    </row>
    <row r="781" spans="1:13" x14ac:dyDescent="0.2">
      <c r="C781" s="741" t="s">
        <v>1017</v>
      </c>
      <c r="D781" s="728"/>
      <c r="E781" s="567"/>
      <c r="F781" s="567"/>
      <c r="G781" s="567"/>
      <c r="H781" s="567">
        <f t="shared" si="78"/>
        <v>0</v>
      </c>
      <c r="I781" s="567">
        <v>0</v>
      </c>
      <c r="J781" s="567">
        <f t="shared" si="74"/>
        <v>0</v>
      </c>
      <c r="K781" s="878"/>
      <c r="L781" s="567">
        <f t="shared" si="76"/>
        <v>0</v>
      </c>
      <c r="M781" s="878"/>
    </row>
    <row r="782" spans="1:13" ht="25.5" x14ac:dyDescent="0.2">
      <c r="C782" s="400" t="s">
        <v>1018</v>
      </c>
      <c r="D782" s="728"/>
      <c r="E782" s="567"/>
      <c r="F782" s="567"/>
      <c r="G782" s="567"/>
      <c r="H782" s="567">
        <f t="shared" si="78"/>
        <v>0</v>
      </c>
      <c r="I782" s="567">
        <v>34490</v>
      </c>
      <c r="J782" s="567">
        <f t="shared" si="74"/>
        <v>34490</v>
      </c>
      <c r="K782" s="878"/>
      <c r="L782" s="567">
        <f t="shared" si="76"/>
        <v>34490</v>
      </c>
      <c r="M782" s="878"/>
    </row>
    <row r="783" spans="1:13" x14ac:dyDescent="0.2">
      <c r="C783" s="372"/>
      <c r="D783" s="216"/>
      <c r="E783" s="216"/>
      <c r="F783" s="216">
        <v>0</v>
      </c>
      <c r="G783" s="216"/>
      <c r="H783" s="216">
        <f t="shared" si="78"/>
        <v>0</v>
      </c>
      <c r="I783" s="216">
        <v>0</v>
      </c>
      <c r="J783" s="216">
        <f t="shared" si="74"/>
        <v>0</v>
      </c>
      <c r="K783" s="936"/>
      <c r="L783" s="216">
        <f t="shared" si="76"/>
        <v>0</v>
      </c>
      <c r="M783" s="936"/>
    </row>
    <row r="784" spans="1:13" x14ac:dyDescent="0.2">
      <c r="C784" s="304" t="s">
        <v>197</v>
      </c>
      <c r="D784" s="118">
        <f>D786+D878</f>
        <v>36851658</v>
      </c>
      <c r="E784" s="477">
        <f>E786+E878</f>
        <v>-808689</v>
      </c>
      <c r="F784" s="477">
        <f>F786+F878</f>
        <v>3545237</v>
      </c>
      <c r="G784" s="566">
        <f>G786+G878</f>
        <v>3145208</v>
      </c>
      <c r="H784" s="566">
        <f t="shared" si="78"/>
        <v>42733414</v>
      </c>
      <c r="I784" s="566">
        <v>44397649</v>
      </c>
      <c r="J784" s="566">
        <f t="shared" si="74"/>
        <v>7545991</v>
      </c>
      <c r="K784" s="816">
        <f t="shared" si="75"/>
        <v>0.20476666205900423</v>
      </c>
      <c r="L784" s="566">
        <f t="shared" si="76"/>
        <v>1664235</v>
      </c>
      <c r="M784" s="816">
        <f t="shared" si="77"/>
        <v>3.8944583271535479E-2</v>
      </c>
    </row>
    <row r="785" spans="1:13" x14ac:dyDescent="0.2">
      <c r="C785" s="305"/>
      <c r="D785" s="215"/>
      <c r="E785" s="482"/>
      <c r="F785" s="482"/>
      <c r="G785" s="609"/>
      <c r="H785" s="609">
        <f t="shared" si="78"/>
        <v>0</v>
      </c>
      <c r="I785" s="609">
        <v>0</v>
      </c>
      <c r="J785" s="609">
        <f t="shared" ref="J785:J847" si="79">I785-D785</f>
        <v>0</v>
      </c>
      <c r="K785" s="932"/>
      <c r="L785" s="609">
        <f t="shared" ref="L785:L847" si="80">I785-H785</f>
        <v>0</v>
      </c>
      <c r="M785" s="932"/>
    </row>
    <row r="786" spans="1:13" x14ac:dyDescent="0.2">
      <c r="A786" s="459" t="s">
        <v>866</v>
      </c>
      <c r="B786" s="179" t="s">
        <v>202</v>
      </c>
      <c r="C786" s="306" t="s">
        <v>948</v>
      </c>
      <c r="D786" s="49">
        <f>D788+D793+D795+D797+D808+D827+D840+D850+D844+D837+D852+D857+D861+D865</f>
        <v>22118075</v>
      </c>
      <c r="E786" s="483">
        <f>E788+E793+E795+E797+E808+E827+E840+E850+E844+E837+E852+E857+E861+E865</f>
        <v>-808689</v>
      </c>
      <c r="F786" s="483">
        <f>F788+F793+F795+F797+F808+F827+F840+F850+F844+F837+F852+F857+F861+F865+F800+F806+F848+F870+F875+F802+F804</f>
        <v>402902</v>
      </c>
      <c r="G786" s="721">
        <f>G788+G793+G795+G797+G808+G827+G840+G850+G844+G837+G852+G857+G861+G865+G800+G806+G848+G870+G875+G802+G804+G833+G835</f>
        <v>1594578</v>
      </c>
      <c r="H786" s="721">
        <f t="shared" si="78"/>
        <v>23306866</v>
      </c>
      <c r="I786" s="721">
        <v>26366216</v>
      </c>
      <c r="J786" s="721">
        <f t="shared" si="79"/>
        <v>4248141</v>
      </c>
      <c r="K786" s="937">
        <f t="shared" ref="K786:K846" si="81">J786/D786</f>
        <v>0.19206648860716857</v>
      </c>
      <c r="L786" s="721">
        <f t="shared" si="80"/>
        <v>3059350</v>
      </c>
      <c r="M786" s="937">
        <f t="shared" ref="M786:M846" si="82">L786/H786</f>
        <v>0.13126389451074202</v>
      </c>
    </row>
    <row r="787" spans="1:13" x14ac:dyDescent="0.2">
      <c r="C787" s="305"/>
      <c r="D787" s="215"/>
      <c r="E787" s="215"/>
      <c r="F787" s="482">
        <v>0</v>
      </c>
      <c r="G787" s="482"/>
      <c r="H787" s="482">
        <f t="shared" si="78"/>
        <v>0</v>
      </c>
      <c r="I787" s="482">
        <v>0</v>
      </c>
      <c r="J787" s="482">
        <f t="shared" si="79"/>
        <v>0</v>
      </c>
      <c r="K787" s="873"/>
      <c r="L787" s="482">
        <f t="shared" si="80"/>
        <v>0</v>
      </c>
      <c r="M787" s="873"/>
    </row>
    <row r="788" spans="1:13" s="486" customFormat="1" x14ac:dyDescent="0.2">
      <c r="A788" s="503"/>
      <c r="B788" s="503"/>
      <c r="C788" s="307" t="s">
        <v>228</v>
      </c>
      <c r="D788" s="202">
        <v>1159440</v>
      </c>
      <c r="E788" s="202">
        <v>32208</v>
      </c>
      <c r="F788" s="493">
        <v>39095</v>
      </c>
      <c r="G788" s="601">
        <v>-28023</v>
      </c>
      <c r="H788" s="601">
        <f t="shared" si="78"/>
        <v>1202720</v>
      </c>
      <c r="I788" s="601">
        <v>1522382</v>
      </c>
      <c r="J788" s="601">
        <f t="shared" si="79"/>
        <v>362942</v>
      </c>
      <c r="K788" s="757">
        <f t="shared" si="81"/>
        <v>0.3130321534533913</v>
      </c>
      <c r="L788" s="601">
        <f t="shared" si="80"/>
        <v>319662</v>
      </c>
      <c r="M788" s="757">
        <f t="shared" si="82"/>
        <v>0.26578255953172808</v>
      </c>
    </row>
    <row r="789" spans="1:13" s="486" customFormat="1" x14ac:dyDescent="0.2">
      <c r="A789" s="503"/>
      <c r="B789" s="503"/>
      <c r="C789" s="308" t="s">
        <v>119</v>
      </c>
      <c r="D789" s="489">
        <f>714340-650</f>
        <v>713690</v>
      </c>
      <c r="E789" s="145">
        <v>24072</v>
      </c>
      <c r="F789" s="489">
        <v>28620</v>
      </c>
      <c r="G789" s="781">
        <v>-27895</v>
      </c>
      <c r="H789" s="567">
        <f t="shared" si="78"/>
        <v>738487</v>
      </c>
      <c r="I789" s="567">
        <v>973246</v>
      </c>
      <c r="J789" s="567">
        <f t="shared" si="79"/>
        <v>259556</v>
      </c>
      <c r="K789" s="878">
        <f t="shared" si="81"/>
        <v>0.36368171054659587</v>
      </c>
      <c r="L789" s="567">
        <f t="shared" si="80"/>
        <v>234759</v>
      </c>
      <c r="M789" s="878">
        <f t="shared" si="82"/>
        <v>0.31789185185385793</v>
      </c>
    </row>
    <row r="790" spans="1:13" x14ac:dyDescent="0.2">
      <c r="C790" s="308"/>
      <c r="D790" s="489"/>
      <c r="E790" s="489"/>
      <c r="F790" s="489"/>
      <c r="G790" s="567"/>
      <c r="H790" s="567">
        <f t="shared" si="78"/>
        <v>0</v>
      </c>
      <c r="I790" s="567">
        <v>0</v>
      </c>
      <c r="J790" s="567">
        <f t="shared" si="79"/>
        <v>0</v>
      </c>
      <c r="K790" s="878"/>
      <c r="L790" s="567">
        <f t="shared" si="80"/>
        <v>0</v>
      </c>
      <c r="M790" s="878"/>
    </row>
    <row r="791" spans="1:13" x14ac:dyDescent="0.2">
      <c r="C791" s="545" t="s">
        <v>1098</v>
      </c>
      <c r="D791" s="489"/>
      <c r="E791" s="489"/>
      <c r="F791" s="489"/>
      <c r="G791" s="567"/>
      <c r="H791" s="567">
        <f t="shared" ref="H791:H853" si="83">D791+E791+F791+G791</f>
        <v>0</v>
      </c>
      <c r="I791" s="567">
        <v>23184</v>
      </c>
      <c r="J791" s="567">
        <f t="shared" si="79"/>
        <v>23184</v>
      </c>
      <c r="K791" s="878"/>
      <c r="L791" s="567">
        <f t="shared" si="80"/>
        <v>23184</v>
      </c>
      <c r="M791" s="878"/>
    </row>
    <row r="792" spans="1:13" x14ac:dyDescent="0.2">
      <c r="C792" s="309"/>
      <c r="D792" s="210"/>
      <c r="E792" s="210"/>
      <c r="F792" s="210">
        <v>0</v>
      </c>
      <c r="G792" s="210"/>
      <c r="H792" s="210">
        <f t="shared" si="83"/>
        <v>0</v>
      </c>
      <c r="I792" s="210">
        <v>0</v>
      </c>
      <c r="J792" s="210">
        <f t="shared" si="79"/>
        <v>0</v>
      </c>
      <c r="K792" s="915"/>
      <c r="L792" s="210">
        <f t="shared" si="80"/>
        <v>0</v>
      </c>
      <c r="M792" s="915"/>
    </row>
    <row r="793" spans="1:13" x14ac:dyDescent="0.2">
      <c r="C793" s="307" t="s">
        <v>229</v>
      </c>
      <c r="D793" s="202">
        <v>2303750</v>
      </c>
      <c r="E793" s="202"/>
      <c r="F793" s="493">
        <v>0</v>
      </c>
      <c r="G793" s="601"/>
      <c r="H793" s="601">
        <f t="shared" si="83"/>
        <v>2303750</v>
      </c>
      <c r="I793" s="601">
        <v>2303750</v>
      </c>
      <c r="J793" s="601">
        <f t="shared" si="79"/>
        <v>0</v>
      </c>
      <c r="K793" s="757">
        <f t="shared" si="81"/>
        <v>0</v>
      </c>
      <c r="L793" s="601">
        <f t="shared" si="80"/>
        <v>0</v>
      </c>
      <c r="M793" s="757">
        <f t="shared" si="82"/>
        <v>0</v>
      </c>
    </row>
    <row r="794" spans="1:13" x14ac:dyDescent="0.2">
      <c r="C794" s="307"/>
      <c r="D794" s="202"/>
      <c r="E794" s="202"/>
      <c r="F794" s="493">
        <v>0</v>
      </c>
      <c r="G794" s="601"/>
      <c r="H794" s="601">
        <f t="shared" si="83"/>
        <v>0</v>
      </c>
      <c r="I794" s="601">
        <v>0</v>
      </c>
      <c r="J794" s="601">
        <f t="shared" si="79"/>
        <v>0</v>
      </c>
      <c r="K794" s="757"/>
      <c r="L794" s="601">
        <f t="shared" si="80"/>
        <v>0</v>
      </c>
      <c r="M794" s="757"/>
    </row>
    <row r="795" spans="1:13" x14ac:dyDescent="0.2">
      <c r="C795" s="307" t="s">
        <v>504</v>
      </c>
      <c r="D795" s="202">
        <v>1571850</v>
      </c>
      <c r="E795" s="202"/>
      <c r="F795" s="493">
        <v>0</v>
      </c>
      <c r="G795" s="601">
        <v>74543</v>
      </c>
      <c r="H795" s="601">
        <f t="shared" si="83"/>
        <v>1646393</v>
      </c>
      <c r="I795" s="601">
        <v>1655888</v>
      </c>
      <c r="J795" s="601">
        <f t="shared" si="79"/>
        <v>84038</v>
      </c>
      <c r="K795" s="757">
        <f t="shared" si="81"/>
        <v>5.346438909565162E-2</v>
      </c>
      <c r="L795" s="601">
        <f t="shared" si="80"/>
        <v>9495</v>
      </c>
      <c r="M795" s="757">
        <f t="shared" si="82"/>
        <v>5.7671528000908653E-3</v>
      </c>
    </row>
    <row r="796" spans="1:13" x14ac:dyDescent="0.2">
      <c r="C796" s="307"/>
      <c r="D796" s="202"/>
      <c r="E796" s="202"/>
      <c r="F796" s="493">
        <v>0</v>
      </c>
      <c r="G796" s="601"/>
      <c r="H796" s="601">
        <f t="shared" si="83"/>
        <v>0</v>
      </c>
      <c r="I796" s="601">
        <v>0</v>
      </c>
      <c r="J796" s="601">
        <f t="shared" si="79"/>
        <v>0</v>
      </c>
      <c r="K796" s="757"/>
      <c r="L796" s="601">
        <f t="shared" si="80"/>
        <v>0</v>
      </c>
      <c r="M796" s="757"/>
    </row>
    <row r="797" spans="1:13" s="486" customFormat="1" x14ac:dyDescent="0.2">
      <c r="A797" s="503"/>
      <c r="B797" s="503"/>
      <c r="C797" s="307" t="s">
        <v>521</v>
      </c>
      <c r="D797" s="202">
        <v>66390</v>
      </c>
      <c r="E797" s="202"/>
      <c r="F797" s="493">
        <v>0</v>
      </c>
      <c r="G797" s="601"/>
      <c r="H797" s="601">
        <f t="shared" si="83"/>
        <v>66390</v>
      </c>
      <c r="I797" s="601">
        <v>66390</v>
      </c>
      <c r="J797" s="601">
        <f t="shared" si="79"/>
        <v>0</v>
      </c>
      <c r="K797" s="757">
        <f t="shared" si="81"/>
        <v>0</v>
      </c>
      <c r="L797" s="601">
        <f t="shared" si="80"/>
        <v>0</v>
      </c>
      <c r="M797" s="757">
        <f t="shared" si="82"/>
        <v>0</v>
      </c>
    </row>
    <row r="798" spans="1:13" s="486" customFormat="1" x14ac:dyDescent="0.2">
      <c r="A798" s="503"/>
      <c r="B798" s="503"/>
      <c r="C798" s="308" t="s">
        <v>119</v>
      </c>
      <c r="D798" s="489">
        <v>12000</v>
      </c>
      <c r="E798" s="145"/>
      <c r="F798" s="489">
        <v>0</v>
      </c>
      <c r="G798" s="781">
        <v>15000</v>
      </c>
      <c r="H798" s="567">
        <f t="shared" si="83"/>
        <v>27000</v>
      </c>
      <c r="I798" s="567">
        <v>25000</v>
      </c>
      <c r="J798" s="567">
        <f t="shared" si="79"/>
        <v>13000</v>
      </c>
      <c r="K798" s="878">
        <f t="shared" si="81"/>
        <v>1.0833333333333333</v>
      </c>
      <c r="L798" s="567">
        <f t="shared" si="80"/>
        <v>-2000</v>
      </c>
      <c r="M798" s="878">
        <f t="shared" si="82"/>
        <v>-7.407407407407407E-2</v>
      </c>
    </row>
    <row r="799" spans="1:13" s="486" customFormat="1" x14ac:dyDescent="0.2">
      <c r="A799" s="503"/>
      <c r="B799" s="503"/>
      <c r="C799" s="308"/>
      <c r="D799" s="489"/>
      <c r="E799" s="489"/>
      <c r="F799" s="489">
        <v>0</v>
      </c>
      <c r="G799" s="489"/>
      <c r="H799" s="489">
        <f t="shared" si="83"/>
        <v>0</v>
      </c>
      <c r="I799" s="489">
        <v>0</v>
      </c>
      <c r="J799" s="489">
        <f t="shared" si="79"/>
        <v>0</v>
      </c>
      <c r="K799" s="869"/>
      <c r="L799" s="489">
        <f t="shared" si="80"/>
        <v>0</v>
      </c>
      <c r="M799" s="869"/>
    </row>
    <row r="800" spans="1:13" s="486" customFormat="1" ht="38.25" x14ac:dyDescent="0.2">
      <c r="A800" s="503"/>
      <c r="B800" s="503"/>
      <c r="C800" s="400" t="s">
        <v>936</v>
      </c>
      <c r="D800" s="489"/>
      <c r="E800" s="489"/>
      <c r="F800" s="493">
        <v>17492</v>
      </c>
      <c r="G800" s="493"/>
      <c r="H800" s="493">
        <f t="shared" si="83"/>
        <v>17492</v>
      </c>
      <c r="I800" s="493">
        <v>0</v>
      </c>
      <c r="J800" s="493">
        <f t="shared" si="79"/>
        <v>0</v>
      </c>
      <c r="K800" s="868"/>
      <c r="L800" s="493">
        <f t="shared" si="80"/>
        <v>-17492</v>
      </c>
      <c r="M800" s="868">
        <f t="shared" si="82"/>
        <v>-1</v>
      </c>
    </row>
    <row r="801" spans="1:13" s="486" customFormat="1" x14ac:dyDescent="0.2">
      <c r="A801" s="503"/>
      <c r="B801" s="503"/>
      <c r="C801" s="308"/>
      <c r="D801" s="489"/>
      <c r="E801" s="489"/>
      <c r="F801" s="493">
        <v>0</v>
      </c>
      <c r="G801" s="493"/>
      <c r="H801" s="493">
        <f t="shared" si="83"/>
        <v>0</v>
      </c>
      <c r="I801" s="493">
        <v>0</v>
      </c>
      <c r="J801" s="493">
        <f t="shared" si="79"/>
        <v>0</v>
      </c>
      <c r="K801" s="868"/>
      <c r="L801" s="493">
        <f t="shared" si="80"/>
        <v>0</v>
      </c>
      <c r="M801" s="868"/>
    </row>
    <row r="802" spans="1:13" s="486" customFormat="1" ht="38.25" x14ac:dyDescent="0.2">
      <c r="A802" s="503"/>
      <c r="B802" s="503"/>
      <c r="C802" s="544" t="s">
        <v>985</v>
      </c>
      <c r="D802" s="489"/>
      <c r="E802" s="489"/>
      <c r="F802" s="493">
        <v>4980</v>
      </c>
      <c r="G802" s="493"/>
      <c r="H802" s="493">
        <f t="shared" si="83"/>
        <v>4980</v>
      </c>
      <c r="I802" s="493">
        <v>0</v>
      </c>
      <c r="J802" s="493">
        <f t="shared" si="79"/>
        <v>0</v>
      </c>
      <c r="K802" s="868"/>
      <c r="L802" s="493">
        <f t="shared" si="80"/>
        <v>-4980</v>
      </c>
      <c r="M802" s="868">
        <f t="shared" si="82"/>
        <v>-1</v>
      </c>
    </row>
    <row r="803" spans="1:13" s="486" customFormat="1" x14ac:dyDescent="0.2">
      <c r="A803" s="503"/>
      <c r="B803" s="503"/>
      <c r="C803" s="545"/>
      <c r="D803" s="489"/>
      <c r="E803" s="489"/>
      <c r="F803" s="493"/>
      <c r="G803" s="493"/>
      <c r="H803" s="493">
        <f t="shared" si="83"/>
        <v>0</v>
      </c>
      <c r="I803" s="493">
        <v>0</v>
      </c>
      <c r="J803" s="493">
        <f t="shared" si="79"/>
        <v>0</v>
      </c>
      <c r="K803" s="868"/>
      <c r="L803" s="493">
        <f t="shared" si="80"/>
        <v>0</v>
      </c>
      <c r="M803" s="868"/>
    </row>
    <row r="804" spans="1:13" s="486" customFormat="1" ht="38.25" x14ac:dyDescent="0.2">
      <c r="A804" s="503"/>
      <c r="B804" s="503"/>
      <c r="C804" s="544" t="s">
        <v>986</v>
      </c>
      <c r="D804" s="489"/>
      <c r="E804" s="489"/>
      <c r="F804" s="493">
        <v>6000</v>
      </c>
      <c r="G804" s="493"/>
      <c r="H804" s="493">
        <f t="shared" si="83"/>
        <v>6000</v>
      </c>
      <c r="I804" s="493">
        <v>0</v>
      </c>
      <c r="J804" s="493">
        <f t="shared" si="79"/>
        <v>0</v>
      </c>
      <c r="K804" s="868"/>
      <c r="L804" s="493">
        <f t="shared" si="80"/>
        <v>-6000</v>
      </c>
      <c r="M804" s="868">
        <f t="shared" si="82"/>
        <v>-1</v>
      </c>
    </row>
    <row r="805" spans="1:13" s="486" customFormat="1" x14ac:dyDescent="0.2">
      <c r="A805" s="503"/>
      <c r="B805" s="503"/>
      <c r="C805" s="308"/>
      <c r="D805" s="489"/>
      <c r="E805" s="489"/>
      <c r="F805" s="493"/>
      <c r="G805" s="493"/>
      <c r="H805" s="493">
        <f t="shared" si="83"/>
        <v>0</v>
      </c>
      <c r="I805" s="493">
        <v>0</v>
      </c>
      <c r="J805" s="493">
        <f t="shared" si="79"/>
        <v>0</v>
      </c>
      <c r="K805" s="868"/>
      <c r="L805" s="493">
        <f t="shared" si="80"/>
        <v>0</v>
      </c>
      <c r="M805" s="868"/>
    </row>
    <row r="806" spans="1:13" ht="25.5" x14ac:dyDescent="0.2">
      <c r="C806" s="400" t="s">
        <v>937</v>
      </c>
      <c r="D806" s="489"/>
      <c r="E806" s="489"/>
      <c r="F806" s="493">
        <v>15000</v>
      </c>
      <c r="G806" s="493"/>
      <c r="H806" s="493">
        <f t="shared" si="83"/>
        <v>15000</v>
      </c>
      <c r="I806" s="493">
        <v>0</v>
      </c>
      <c r="J806" s="493">
        <f t="shared" si="79"/>
        <v>0</v>
      </c>
      <c r="K806" s="868"/>
      <c r="L806" s="493">
        <f t="shared" si="80"/>
        <v>-15000</v>
      </c>
      <c r="M806" s="868">
        <f t="shared" si="82"/>
        <v>-1</v>
      </c>
    </row>
    <row r="807" spans="1:13" x14ac:dyDescent="0.2">
      <c r="C807" s="509"/>
      <c r="D807" s="489"/>
      <c r="E807" s="489"/>
      <c r="F807" s="489">
        <v>0</v>
      </c>
      <c r="G807" s="489"/>
      <c r="H807" s="489">
        <f t="shared" si="83"/>
        <v>0</v>
      </c>
      <c r="I807" s="489">
        <v>0</v>
      </c>
      <c r="J807" s="489">
        <f t="shared" si="79"/>
        <v>0</v>
      </c>
      <c r="K807" s="869"/>
      <c r="L807" s="489">
        <f t="shared" si="80"/>
        <v>0</v>
      </c>
      <c r="M807" s="869"/>
    </row>
    <row r="808" spans="1:13" x14ac:dyDescent="0.2">
      <c r="C808" s="307" t="s">
        <v>660</v>
      </c>
      <c r="D808" s="202">
        <f>D810+D816+D822</f>
        <v>15190050</v>
      </c>
      <c r="E808" s="202"/>
      <c r="F808" s="493">
        <v>270000</v>
      </c>
      <c r="G808" s="601">
        <f>G810+G816+G822</f>
        <v>1550058</v>
      </c>
      <c r="H808" s="601">
        <f t="shared" si="83"/>
        <v>17010108</v>
      </c>
      <c r="I808" s="601">
        <v>19930620</v>
      </c>
      <c r="J808" s="601">
        <f t="shared" si="79"/>
        <v>4740570</v>
      </c>
      <c r="K808" s="757">
        <f t="shared" si="81"/>
        <v>0.31208389702469708</v>
      </c>
      <c r="L808" s="601">
        <f t="shared" si="80"/>
        <v>2920512</v>
      </c>
      <c r="M808" s="757">
        <f t="shared" si="82"/>
        <v>0.17169273704787766</v>
      </c>
    </row>
    <row r="809" spans="1:13" x14ac:dyDescent="0.2">
      <c r="C809" s="307"/>
      <c r="D809" s="202"/>
      <c r="E809" s="202"/>
      <c r="F809" s="493">
        <v>0</v>
      </c>
      <c r="G809" s="601"/>
      <c r="H809" s="601">
        <f t="shared" si="83"/>
        <v>0</v>
      </c>
      <c r="I809" s="601">
        <v>0</v>
      </c>
      <c r="J809" s="601">
        <f t="shared" si="79"/>
        <v>0</v>
      </c>
      <c r="K809" s="757"/>
      <c r="L809" s="601">
        <f t="shared" si="80"/>
        <v>0</v>
      </c>
      <c r="M809" s="757"/>
    </row>
    <row r="810" spans="1:13" x14ac:dyDescent="0.2">
      <c r="C810" s="310" t="s">
        <v>230</v>
      </c>
      <c r="D810" s="202">
        <f>D811+D812+D813</f>
        <v>3548740</v>
      </c>
      <c r="E810" s="202"/>
      <c r="F810" s="493">
        <v>270000</v>
      </c>
      <c r="G810" s="601">
        <f>G811+G812+G813+G814</f>
        <v>1364108</v>
      </c>
      <c r="H810" s="601">
        <f t="shared" si="83"/>
        <v>5182848</v>
      </c>
      <c r="I810" s="601">
        <v>5963340</v>
      </c>
      <c r="J810" s="601">
        <f t="shared" si="79"/>
        <v>2414600</v>
      </c>
      <c r="K810" s="757">
        <f t="shared" si="81"/>
        <v>0.68041051189999835</v>
      </c>
      <c r="L810" s="601">
        <f t="shared" si="80"/>
        <v>780492</v>
      </c>
      <c r="M810" s="757">
        <f t="shared" si="82"/>
        <v>0.15059133511150627</v>
      </c>
    </row>
    <row r="811" spans="1:13" x14ac:dyDescent="0.2">
      <c r="C811" s="311" t="s">
        <v>231</v>
      </c>
      <c r="D811" s="201">
        <v>482750</v>
      </c>
      <c r="E811" s="201"/>
      <c r="F811" s="490">
        <v>0</v>
      </c>
      <c r="G811" s="612"/>
      <c r="H811" s="612">
        <v>482750</v>
      </c>
      <c r="I811" s="612">
        <v>482750</v>
      </c>
      <c r="J811" s="612">
        <f t="shared" si="79"/>
        <v>0</v>
      </c>
      <c r="K811" s="880">
        <f t="shared" si="81"/>
        <v>0</v>
      </c>
      <c r="L811" s="612">
        <f t="shared" si="80"/>
        <v>0</v>
      </c>
      <c r="M811" s="880">
        <f t="shared" si="82"/>
        <v>0</v>
      </c>
    </row>
    <row r="812" spans="1:13" s="486" customFormat="1" ht="22.5" x14ac:dyDescent="0.2">
      <c r="A812" s="503"/>
      <c r="B812" s="503"/>
      <c r="C812" s="737" t="s">
        <v>1099</v>
      </c>
      <c r="D812" s="198">
        <v>1292000</v>
      </c>
      <c r="E812" s="198"/>
      <c r="F812" s="198">
        <v>0</v>
      </c>
      <c r="G812" s="607">
        <v>535200</v>
      </c>
      <c r="H812" s="612">
        <v>1827200</v>
      </c>
      <c r="I812" s="612">
        <v>3406600</v>
      </c>
      <c r="J812" s="612">
        <f t="shared" si="79"/>
        <v>2114600</v>
      </c>
      <c r="K812" s="880">
        <f t="shared" si="81"/>
        <v>1.6366873065015479</v>
      </c>
      <c r="L812" s="612">
        <f t="shared" si="80"/>
        <v>1579400</v>
      </c>
      <c r="M812" s="880">
        <f t="shared" si="82"/>
        <v>0.86438266199649738</v>
      </c>
    </row>
    <row r="813" spans="1:13" x14ac:dyDescent="0.2">
      <c r="C813" s="312" t="s">
        <v>232</v>
      </c>
      <c r="D813" s="147">
        <v>1773990</v>
      </c>
      <c r="E813" s="147"/>
      <c r="F813" s="147">
        <v>0</v>
      </c>
      <c r="G813" s="611">
        <v>478908</v>
      </c>
      <c r="H813" s="612">
        <v>2252898</v>
      </c>
      <c r="I813" s="612">
        <v>1773990</v>
      </c>
      <c r="J813" s="612">
        <f t="shared" si="79"/>
        <v>0</v>
      </c>
      <c r="K813" s="880">
        <f t="shared" si="81"/>
        <v>0</v>
      </c>
      <c r="L813" s="612">
        <f t="shared" si="80"/>
        <v>-478908</v>
      </c>
      <c r="M813" s="880">
        <f t="shared" si="82"/>
        <v>-0.21257420442470099</v>
      </c>
    </row>
    <row r="814" spans="1:13" x14ac:dyDescent="0.2">
      <c r="C814" s="312" t="s">
        <v>938</v>
      </c>
      <c r="D814" s="147"/>
      <c r="E814" s="147"/>
      <c r="F814" s="147">
        <v>270000</v>
      </c>
      <c r="G814" s="611">
        <v>350000</v>
      </c>
      <c r="H814" s="612">
        <v>620000</v>
      </c>
      <c r="I814" s="612">
        <v>300000</v>
      </c>
      <c r="J814" s="612">
        <f t="shared" si="79"/>
        <v>300000</v>
      </c>
      <c r="K814" s="880"/>
      <c r="L814" s="612">
        <f t="shared" si="80"/>
        <v>-320000</v>
      </c>
      <c r="M814" s="880">
        <f t="shared" si="82"/>
        <v>-0.5161290322580645</v>
      </c>
    </row>
    <row r="815" spans="1:13" x14ac:dyDescent="0.2">
      <c r="C815" s="373"/>
      <c r="D815" s="5"/>
      <c r="E815" s="5"/>
      <c r="F815" s="5">
        <v>0</v>
      </c>
      <c r="G815" s="598"/>
      <c r="H815" s="598">
        <f t="shared" si="83"/>
        <v>0</v>
      </c>
      <c r="I815" s="598">
        <v>0</v>
      </c>
      <c r="J815" s="598">
        <f t="shared" si="79"/>
        <v>0</v>
      </c>
      <c r="K815" s="529"/>
      <c r="L815" s="598">
        <f t="shared" si="80"/>
        <v>0</v>
      </c>
      <c r="M815" s="529"/>
    </row>
    <row r="816" spans="1:13" x14ac:dyDescent="0.2">
      <c r="C816" s="310" t="s">
        <v>233</v>
      </c>
      <c r="D816" s="202">
        <f>D817</f>
        <v>11448130</v>
      </c>
      <c r="E816" s="202"/>
      <c r="F816" s="493">
        <v>0</v>
      </c>
      <c r="G816" s="601">
        <f>G817+G820</f>
        <v>160000</v>
      </c>
      <c r="H816" s="601">
        <f t="shared" si="83"/>
        <v>11608130</v>
      </c>
      <c r="I816" s="601">
        <v>13736100</v>
      </c>
      <c r="J816" s="601">
        <f t="shared" si="79"/>
        <v>2287970</v>
      </c>
      <c r="K816" s="757">
        <f t="shared" si="81"/>
        <v>0.19985534755457879</v>
      </c>
      <c r="L816" s="601">
        <f t="shared" si="80"/>
        <v>2127970</v>
      </c>
      <c r="M816" s="757">
        <f t="shared" si="82"/>
        <v>0.18331720957639172</v>
      </c>
    </row>
    <row r="817" spans="1:13" x14ac:dyDescent="0.2">
      <c r="C817" s="311" t="s">
        <v>471</v>
      </c>
      <c r="D817" s="201">
        <f>D818+D819</f>
        <v>11448130</v>
      </c>
      <c r="E817" s="201"/>
      <c r="F817" s="490">
        <v>0</v>
      </c>
      <c r="G817" s="612">
        <f>G818+G819</f>
        <v>0</v>
      </c>
      <c r="H817" s="612">
        <f t="shared" si="83"/>
        <v>11448130</v>
      </c>
      <c r="I817" s="612">
        <v>13736100</v>
      </c>
      <c r="J817" s="612">
        <f t="shared" si="79"/>
        <v>2287970</v>
      </c>
      <c r="K817" s="880">
        <f t="shared" si="81"/>
        <v>0.19985534755457879</v>
      </c>
      <c r="L817" s="612">
        <f t="shared" si="80"/>
        <v>2287970</v>
      </c>
      <c r="M817" s="880">
        <f t="shared" si="82"/>
        <v>0.19985534755457879</v>
      </c>
    </row>
    <row r="818" spans="1:13" s="486" customFormat="1" x14ac:dyDescent="0.2">
      <c r="A818" s="503"/>
      <c r="B818" s="503"/>
      <c r="C818" s="293" t="s">
        <v>661</v>
      </c>
      <c r="D818" s="201">
        <v>11440480</v>
      </c>
      <c r="E818" s="201"/>
      <c r="F818" s="490">
        <v>0</v>
      </c>
      <c r="G818" s="612"/>
      <c r="H818" s="612">
        <f t="shared" si="83"/>
        <v>11440480</v>
      </c>
      <c r="I818" s="612">
        <v>13728450</v>
      </c>
      <c r="J818" s="612">
        <f t="shared" si="79"/>
        <v>2287970</v>
      </c>
      <c r="K818" s="880">
        <f t="shared" si="81"/>
        <v>0.19998898647609192</v>
      </c>
      <c r="L818" s="612">
        <f t="shared" si="80"/>
        <v>2287970</v>
      </c>
      <c r="M818" s="880">
        <f t="shared" si="82"/>
        <v>0.19998898647609192</v>
      </c>
    </row>
    <row r="819" spans="1:13" x14ac:dyDescent="0.2">
      <c r="C819" s="295" t="s">
        <v>234</v>
      </c>
      <c r="D819" s="201">
        <v>7650</v>
      </c>
      <c r="E819" s="201"/>
      <c r="F819" s="490">
        <v>0</v>
      </c>
      <c r="G819" s="612"/>
      <c r="H819" s="612">
        <f t="shared" si="83"/>
        <v>7650</v>
      </c>
      <c r="I819" s="612">
        <v>7650</v>
      </c>
      <c r="J819" s="612">
        <f t="shared" si="79"/>
        <v>0</v>
      </c>
      <c r="K819" s="880">
        <f t="shared" si="81"/>
        <v>0</v>
      </c>
      <c r="L819" s="612">
        <f t="shared" si="80"/>
        <v>0</v>
      </c>
      <c r="M819" s="880">
        <f t="shared" si="82"/>
        <v>0</v>
      </c>
    </row>
    <row r="820" spans="1:13" x14ac:dyDescent="0.2">
      <c r="C820" s="689" t="s">
        <v>1040</v>
      </c>
      <c r="D820" s="612"/>
      <c r="E820" s="612"/>
      <c r="F820" s="612"/>
      <c r="G820" s="612">
        <v>160000</v>
      </c>
      <c r="H820" s="612">
        <f t="shared" si="83"/>
        <v>160000</v>
      </c>
      <c r="I820" s="612">
        <v>0</v>
      </c>
      <c r="J820" s="612">
        <f t="shared" si="79"/>
        <v>0</v>
      </c>
      <c r="K820" s="880"/>
      <c r="L820" s="612">
        <f t="shared" si="80"/>
        <v>-160000</v>
      </c>
      <c r="M820" s="880">
        <f t="shared" si="82"/>
        <v>-1</v>
      </c>
    </row>
    <row r="821" spans="1:13" x14ac:dyDescent="0.2">
      <c r="C821" s="311"/>
      <c r="D821" s="201"/>
      <c r="E821" s="201"/>
      <c r="F821" s="490">
        <v>0</v>
      </c>
      <c r="G821" s="612"/>
      <c r="H821" s="612">
        <f t="shared" si="83"/>
        <v>0</v>
      </c>
      <c r="I821" s="612">
        <v>0</v>
      </c>
      <c r="J821" s="612">
        <f t="shared" si="79"/>
        <v>0</v>
      </c>
      <c r="K821" s="880"/>
      <c r="L821" s="612">
        <f t="shared" si="80"/>
        <v>0</v>
      </c>
      <c r="M821" s="880"/>
    </row>
    <row r="822" spans="1:13" x14ac:dyDescent="0.2">
      <c r="C822" s="310" t="s">
        <v>235</v>
      </c>
      <c r="D822" s="202">
        <f>D823+D824+D825</f>
        <v>193180</v>
      </c>
      <c r="E822" s="202"/>
      <c r="F822" s="493">
        <v>0</v>
      </c>
      <c r="G822" s="601">
        <f>G823+G824+G825</f>
        <v>25950</v>
      </c>
      <c r="H822" s="601">
        <f t="shared" si="83"/>
        <v>219130</v>
      </c>
      <c r="I822" s="601">
        <v>231180</v>
      </c>
      <c r="J822" s="601">
        <f t="shared" si="79"/>
        <v>38000</v>
      </c>
      <c r="K822" s="757">
        <f t="shared" si="81"/>
        <v>0.19670773371984676</v>
      </c>
      <c r="L822" s="601">
        <f t="shared" si="80"/>
        <v>12050</v>
      </c>
      <c r="M822" s="757">
        <f t="shared" si="82"/>
        <v>5.4990188472596173E-2</v>
      </c>
    </row>
    <row r="823" spans="1:13" x14ac:dyDescent="0.2">
      <c r="C823" s="311" t="s">
        <v>236</v>
      </c>
      <c r="D823" s="201">
        <v>163280</v>
      </c>
      <c r="E823" s="201"/>
      <c r="F823" s="490">
        <v>0</v>
      </c>
      <c r="G823" s="612"/>
      <c r="H823" s="612">
        <f t="shared" si="83"/>
        <v>163280</v>
      </c>
      <c r="I823" s="612">
        <v>173280</v>
      </c>
      <c r="J823" s="612">
        <f t="shared" si="79"/>
        <v>10000</v>
      </c>
      <c r="K823" s="880">
        <f t="shared" si="81"/>
        <v>6.124448799608035E-2</v>
      </c>
      <c r="L823" s="612">
        <f t="shared" si="80"/>
        <v>10000</v>
      </c>
      <c r="M823" s="880">
        <f t="shared" si="82"/>
        <v>6.124448799608035E-2</v>
      </c>
    </row>
    <row r="824" spans="1:13" x14ac:dyDescent="0.2">
      <c r="C824" s="311" t="s">
        <v>237</v>
      </c>
      <c r="D824" s="201">
        <v>20000</v>
      </c>
      <c r="E824" s="201"/>
      <c r="F824" s="490">
        <v>0</v>
      </c>
      <c r="G824" s="612">
        <v>25950</v>
      </c>
      <c r="H824" s="612">
        <f t="shared" si="83"/>
        <v>45950</v>
      </c>
      <c r="I824" s="612">
        <v>48000</v>
      </c>
      <c r="J824" s="612">
        <f t="shared" si="79"/>
        <v>28000</v>
      </c>
      <c r="K824" s="880">
        <f t="shared" si="81"/>
        <v>1.4</v>
      </c>
      <c r="L824" s="612">
        <f t="shared" si="80"/>
        <v>2050</v>
      </c>
      <c r="M824" s="880">
        <f t="shared" si="82"/>
        <v>4.461371055495103E-2</v>
      </c>
    </row>
    <row r="825" spans="1:13" x14ac:dyDescent="0.2">
      <c r="C825" s="311" t="s">
        <v>355</v>
      </c>
      <c r="D825" s="201">
        <v>9900</v>
      </c>
      <c r="E825" s="201"/>
      <c r="F825" s="490">
        <v>0</v>
      </c>
      <c r="G825" s="612"/>
      <c r="H825" s="612">
        <f t="shared" si="83"/>
        <v>9900</v>
      </c>
      <c r="I825" s="612">
        <v>9900</v>
      </c>
      <c r="J825" s="612">
        <f t="shared" si="79"/>
        <v>0</v>
      </c>
      <c r="K825" s="880">
        <f t="shared" si="81"/>
        <v>0</v>
      </c>
      <c r="L825" s="612">
        <f t="shared" si="80"/>
        <v>0</v>
      </c>
      <c r="M825" s="880">
        <f t="shared" si="82"/>
        <v>0</v>
      </c>
    </row>
    <row r="826" spans="1:13" x14ac:dyDescent="0.2">
      <c r="C826" s="374"/>
      <c r="D826" s="166"/>
      <c r="E826" s="166"/>
      <c r="F826" s="166">
        <v>0</v>
      </c>
      <c r="G826" s="166"/>
      <c r="H826" s="166">
        <f t="shared" si="83"/>
        <v>0</v>
      </c>
      <c r="I826" s="166">
        <v>0</v>
      </c>
      <c r="J826" s="166">
        <f t="shared" si="79"/>
        <v>0</v>
      </c>
      <c r="K826" s="938"/>
      <c r="L826" s="166">
        <f t="shared" si="80"/>
        <v>0</v>
      </c>
      <c r="M826" s="938"/>
    </row>
    <row r="827" spans="1:13" x14ac:dyDescent="0.2">
      <c r="C827" s="307" t="s">
        <v>238</v>
      </c>
      <c r="D827" s="202">
        <f>SUM(D828:D831)</f>
        <v>118113</v>
      </c>
      <c r="E827" s="202"/>
      <c r="F827" s="493">
        <v>0</v>
      </c>
      <c r="G827" s="601">
        <f>G828+G829+G830+G831</f>
        <v>-10836</v>
      </c>
      <c r="H827" s="601">
        <f t="shared" si="83"/>
        <v>107277</v>
      </c>
      <c r="I827" s="601">
        <v>118113</v>
      </c>
      <c r="J827" s="601">
        <f t="shared" si="79"/>
        <v>0</v>
      </c>
      <c r="K827" s="757">
        <f t="shared" si="81"/>
        <v>0</v>
      </c>
      <c r="L827" s="601">
        <f t="shared" si="80"/>
        <v>10836</v>
      </c>
      <c r="M827" s="757">
        <f t="shared" si="82"/>
        <v>0.10100953606085181</v>
      </c>
    </row>
    <row r="828" spans="1:13" x14ac:dyDescent="0.2">
      <c r="C828" s="313" t="s">
        <v>662</v>
      </c>
      <c r="D828" s="198">
        <v>17570</v>
      </c>
      <c r="E828" s="198"/>
      <c r="F828" s="198">
        <v>0</v>
      </c>
      <c r="G828" s="607"/>
      <c r="H828" s="607">
        <f t="shared" si="83"/>
        <v>17570</v>
      </c>
      <c r="I828" s="607">
        <v>17570</v>
      </c>
      <c r="J828" s="607">
        <f t="shared" si="79"/>
        <v>0</v>
      </c>
      <c r="K828" s="939">
        <f t="shared" si="81"/>
        <v>0</v>
      </c>
      <c r="L828" s="607">
        <f t="shared" si="80"/>
        <v>0</v>
      </c>
      <c r="M828" s="939">
        <f t="shared" si="82"/>
        <v>0</v>
      </c>
    </row>
    <row r="829" spans="1:13" x14ac:dyDescent="0.2">
      <c r="C829" s="314" t="s">
        <v>586</v>
      </c>
      <c r="D829" s="232">
        <v>50500</v>
      </c>
      <c r="E829" s="232"/>
      <c r="F829" s="232">
        <v>0</v>
      </c>
      <c r="G829" s="719">
        <v>-10836</v>
      </c>
      <c r="H829" s="607">
        <f t="shared" si="83"/>
        <v>39664</v>
      </c>
      <c r="I829" s="607">
        <v>50500</v>
      </c>
      <c r="J829" s="607">
        <f t="shared" si="79"/>
        <v>0</v>
      </c>
      <c r="K829" s="939">
        <f t="shared" si="81"/>
        <v>0</v>
      </c>
      <c r="L829" s="607">
        <f t="shared" si="80"/>
        <v>10836</v>
      </c>
      <c r="M829" s="939">
        <f t="shared" si="82"/>
        <v>0.27319483662767247</v>
      </c>
    </row>
    <row r="830" spans="1:13" s="486" customFormat="1" x14ac:dyDescent="0.2">
      <c r="A830" s="503"/>
      <c r="B830" s="503"/>
      <c r="C830" s="111" t="s">
        <v>239</v>
      </c>
      <c r="D830" s="198">
        <v>21260</v>
      </c>
      <c r="E830" s="198"/>
      <c r="F830" s="198">
        <v>0</v>
      </c>
      <c r="G830" s="607"/>
      <c r="H830" s="607">
        <f t="shared" si="83"/>
        <v>21260</v>
      </c>
      <c r="I830" s="607">
        <v>21260</v>
      </c>
      <c r="J830" s="607">
        <f t="shared" si="79"/>
        <v>0</v>
      </c>
      <c r="K830" s="939">
        <f t="shared" si="81"/>
        <v>0</v>
      </c>
      <c r="L830" s="607">
        <f t="shared" si="80"/>
        <v>0</v>
      </c>
      <c r="M830" s="939">
        <f t="shared" si="82"/>
        <v>0</v>
      </c>
    </row>
    <row r="831" spans="1:13" s="486" customFormat="1" x14ac:dyDescent="0.2">
      <c r="A831" s="503"/>
      <c r="B831" s="503"/>
      <c r="C831" s="314" t="s">
        <v>569</v>
      </c>
      <c r="D831" s="232">
        <v>28783</v>
      </c>
      <c r="E831" s="232"/>
      <c r="F831" s="232">
        <v>0</v>
      </c>
      <c r="G831" s="719"/>
      <c r="H831" s="607">
        <f t="shared" si="83"/>
        <v>28783</v>
      </c>
      <c r="I831" s="607">
        <v>28783</v>
      </c>
      <c r="J831" s="607">
        <f t="shared" si="79"/>
        <v>0</v>
      </c>
      <c r="K831" s="939">
        <f t="shared" si="81"/>
        <v>0</v>
      </c>
      <c r="L831" s="607">
        <f t="shared" si="80"/>
        <v>0</v>
      </c>
      <c r="M831" s="939">
        <f t="shared" si="82"/>
        <v>0</v>
      </c>
    </row>
    <row r="832" spans="1:13" s="486" customFormat="1" x14ac:dyDescent="0.2">
      <c r="A832" s="503"/>
      <c r="B832" s="503"/>
      <c r="C832" s="314"/>
      <c r="D832" s="232"/>
      <c r="E832" s="232"/>
      <c r="F832" s="232"/>
      <c r="G832" s="719"/>
      <c r="H832" s="607">
        <f t="shared" si="83"/>
        <v>0</v>
      </c>
      <c r="I832" s="607">
        <v>0</v>
      </c>
      <c r="J832" s="607">
        <f t="shared" si="79"/>
        <v>0</v>
      </c>
      <c r="K832" s="939"/>
      <c r="L832" s="607">
        <f t="shared" si="80"/>
        <v>0</v>
      </c>
      <c r="M832" s="939"/>
    </row>
    <row r="833" spans="1:13" s="486" customFormat="1" x14ac:dyDescent="0.2">
      <c r="A833" s="503"/>
      <c r="B833" s="503"/>
      <c r="C833" s="546" t="s">
        <v>1041</v>
      </c>
      <c r="D833" s="719"/>
      <c r="E833" s="719"/>
      <c r="F833" s="719"/>
      <c r="G833" s="46">
        <v>2500</v>
      </c>
      <c r="H833" s="613">
        <f t="shared" si="83"/>
        <v>2500</v>
      </c>
      <c r="I833" s="613">
        <v>0</v>
      </c>
      <c r="J833" s="613">
        <f t="shared" si="79"/>
        <v>0</v>
      </c>
      <c r="K833" s="825"/>
      <c r="L833" s="613">
        <f t="shared" si="80"/>
        <v>-2500</v>
      </c>
      <c r="M833" s="825">
        <f t="shared" si="82"/>
        <v>-1</v>
      </c>
    </row>
    <row r="834" spans="1:13" x14ac:dyDescent="0.2">
      <c r="C834" s="762"/>
      <c r="D834" s="719"/>
      <c r="E834" s="719"/>
      <c r="F834" s="719"/>
      <c r="G834" s="46"/>
      <c r="H834" s="613">
        <f t="shared" si="83"/>
        <v>0</v>
      </c>
      <c r="I834" s="613">
        <v>0</v>
      </c>
      <c r="J834" s="613">
        <f t="shared" si="79"/>
        <v>0</v>
      </c>
      <c r="K834" s="825"/>
      <c r="L834" s="613">
        <f t="shared" si="80"/>
        <v>0</v>
      </c>
      <c r="M834" s="825"/>
    </row>
    <row r="835" spans="1:13" x14ac:dyDescent="0.2">
      <c r="C835" s="546" t="s">
        <v>1042</v>
      </c>
      <c r="D835" s="719"/>
      <c r="E835" s="719"/>
      <c r="F835" s="719"/>
      <c r="G835" s="46">
        <v>6336</v>
      </c>
      <c r="H835" s="613">
        <f t="shared" si="83"/>
        <v>6336</v>
      </c>
      <c r="I835" s="613">
        <v>0</v>
      </c>
      <c r="J835" s="613">
        <f t="shared" si="79"/>
        <v>0</v>
      </c>
      <c r="K835" s="825"/>
      <c r="L835" s="613">
        <f t="shared" si="80"/>
        <v>-6336</v>
      </c>
      <c r="M835" s="825">
        <f t="shared" si="82"/>
        <v>-1</v>
      </c>
    </row>
    <row r="836" spans="1:13" x14ac:dyDescent="0.2">
      <c r="C836" s="314"/>
      <c r="D836" s="232"/>
      <c r="E836" s="232"/>
      <c r="F836" s="232">
        <v>0</v>
      </c>
      <c r="G836" s="232"/>
      <c r="H836" s="232">
        <f t="shared" si="83"/>
        <v>0</v>
      </c>
      <c r="I836" s="232">
        <v>0</v>
      </c>
      <c r="J836" s="232">
        <f t="shared" si="79"/>
        <v>0</v>
      </c>
      <c r="K836" s="940"/>
      <c r="L836" s="232">
        <f t="shared" si="80"/>
        <v>0</v>
      </c>
      <c r="M836" s="940"/>
    </row>
    <row r="837" spans="1:13" x14ac:dyDescent="0.2">
      <c r="C837" s="315" t="s">
        <v>663</v>
      </c>
      <c r="D837" s="197">
        <v>843159</v>
      </c>
      <c r="E837" s="484">
        <v>-840897</v>
      </c>
      <c r="F837" s="496">
        <v>0</v>
      </c>
      <c r="G837" s="496"/>
      <c r="H837" s="496">
        <f t="shared" si="83"/>
        <v>2262</v>
      </c>
      <c r="I837" s="496">
        <v>138737</v>
      </c>
      <c r="J837" s="496">
        <f t="shared" si="79"/>
        <v>-704422</v>
      </c>
      <c r="K837" s="887">
        <f t="shared" si="81"/>
        <v>-0.83545570882834674</v>
      </c>
      <c r="L837" s="496">
        <f t="shared" si="80"/>
        <v>136475</v>
      </c>
      <c r="M837" s="887">
        <f t="shared" si="82"/>
        <v>60.333775419982317</v>
      </c>
    </row>
    <row r="838" spans="1:13" x14ac:dyDescent="0.2">
      <c r="C838" s="375" t="s">
        <v>119</v>
      </c>
      <c r="D838" s="441">
        <v>630164</v>
      </c>
      <c r="E838" s="485">
        <v>-628471</v>
      </c>
      <c r="F838" s="441">
        <v>0</v>
      </c>
      <c r="G838" s="441"/>
      <c r="H838" s="441">
        <f t="shared" si="83"/>
        <v>1693</v>
      </c>
      <c r="I838" s="441">
        <v>103690</v>
      </c>
      <c r="J838" s="441">
        <f t="shared" si="79"/>
        <v>-526474</v>
      </c>
      <c r="K838" s="941">
        <f t="shared" si="81"/>
        <v>-0.8354555322106626</v>
      </c>
      <c r="L838" s="441">
        <f t="shared" si="80"/>
        <v>101997</v>
      </c>
      <c r="M838" s="941">
        <f t="shared" si="82"/>
        <v>60.246308328411104</v>
      </c>
    </row>
    <row r="839" spans="1:13" s="486" customFormat="1" x14ac:dyDescent="0.2">
      <c r="A839" s="503"/>
      <c r="B839" s="503"/>
      <c r="C839" s="375"/>
      <c r="D839" s="441"/>
      <c r="E839" s="441"/>
      <c r="F839" s="441">
        <v>0</v>
      </c>
      <c r="G839" s="441"/>
      <c r="H839" s="441">
        <f t="shared" si="83"/>
        <v>0</v>
      </c>
      <c r="I839" s="441">
        <v>0</v>
      </c>
      <c r="J839" s="441">
        <f t="shared" si="79"/>
        <v>0</v>
      </c>
      <c r="K839" s="941"/>
      <c r="L839" s="441">
        <f t="shared" si="80"/>
        <v>0</v>
      </c>
      <c r="M839" s="941"/>
    </row>
    <row r="840" spans="1:13" s="486" customFormat="1" x14ac:dyDescent="0.2">
      <c r="A840" s="503"/>
      <c r="B840" s="503"/>
      <c r="C840" s="315" t="s">
        <v>505</v>
      </c>
      <c r="D840" s="197">
        <v>7700</v>
      </c>
      <c r="E840" s="197"/>
      <c r="F840" s="496">
        <v>0</v>
      </c>
      <c r="G840" s="496"/>
      <c r="H840" s="496">
        <f t="shared" si="83"/>
        <v>7700</v>
      </c>
      <c r="I840" s="496">
        <v>7700</v>
      </c>
      <c r="J840" s="496">
        <f t="shared" si="79"/>
        <v>0</v>
      </c>
      <c r="K840" s="887">
        <f t="shared" si="81"/>
        <v>0</v>
      </c>
      <c r="L840" s="496">
        <f t="shared" si="80"/>
        <v>0</v>
      </c>
      <c r="M840" s="887">
        <f t="shared" si="82"/>
        <v>0</v>
      </c>
    </row>
    <row r="841" spans="1:13" x14ac:dyDescent="0.2">
      <c r="C841" s="315"/>
      <c r="D841" s="496"/>
      <c r="E841" s="496"/>
      <c r="F841" s="496"/>
      <c r="G841" s="496"/>
      <c r="H841" s="496">
        <f t="shared" si="83"/>
        <v>0</v>
      </c>
      <c r="I841" s="496">
        <v>0</v>
      </c>
      <c r="J841" s="496">
        <f t="shared" si="79"/>
        <v>0</v>
      </c>
      <c r="K841" s="887"/>
      <c r="L841" s="496">
        <f t="shared" si="80"/>
        <v>0</v>
      </c>
      <c r="M841" s="887"/>
    </row>
    <row r="842" spans="1:13" ht="25.5" x14ac:dyDescent="0.2">
      <c r="C842" s="720" t="s">
        <v>1007</v>
      </c>
      <c r="D842" s="46"/>
      <c r="E842" s="46"/>
      <c r="F842" s="46"/>
      <c r="G842" s="46"/>
      <c r="H842" s="46">
        <f t="shared" si="83"/>
        <v>0</v>
      </c>
      <c r="I842" s="46">
        <v>85840</v>
      </c>
      <c r="J842" s="46">
        <f t="shared" si="79"/>
        <v>85840</v>
      </c>
      <c r="K842" s="636"/>
      <c r="L842" s="46">
        <f t="shared" si="80"/>
        <v>85840</v>
      </c>
      <c r="M842" s="636"/>
    </row>
    <row r="843" spans="1:13" x14ac:dyDescent="0.2">
      <c r="C843" s="314"/>
      <c r="D843" s="232"/>
      <c r="E843" s="232"/>
      <c r="F843" s="232">
        <v>0</v>
      </c>
      <c r="G843" s="232"/>
      <c r="H843" s="232">
        <f t="shared" si="83"/>
        <v>0</v>
      </c>
      <c r="I843" s="232">
        <v>0</v>
      </c>
      <c r="J843" s="232">
        <f t="shared" si="79"/>
        <v>0</v>
      </c>
      <c r="K843" s="940"/>
      <c r="L843" s="232">
        <f t="shared" si="80"/>
        <v>0</v>
      </c>
      <c r="M843" s="940"/>
    </row>
    <row r="844" spans="1:13" ht="25.5" x14ac:dyDescent="0.2">
      <c r="C844" s="315" t="s">
        <v>847</v>
      </c>
      <c r="D844" s="197">
        <v>445235</v>
      </c>
      <c r="E844" s="197"/>
      <c r="F844" s="496">
        <v>0</v>
      </c>
      <c r="G844" s="496"/>
      <c r="H844" s="496">
        <f t="shared" si="83"/>
        <v>445235</v>
      </c>
      <c r="I844" s="496">
        <v>445235</v>
      </c>
      <c r="J844" s="496">
        <f t="shared" si="79"/>
        <v>0</v>
      </c>
      <c r="K844" s="887">
        <f t="shared" si="81"/>
        <v>0</v>
      </c>
      <c r="L844" s="496">
        <f t="shared" si="80"/>
        <v>0</v>
      </c>
      <c r="M844" s="887">
        <f t="shared" si="82"/>
        <v>0</v>
      </c>
    </row>
    <row r="845" spans="1:13" s="486" customFormat="1" x14ac:dyDescent="0.2">
      <c r="A845" s="503"/>
      <c r="B845" s="503"/>
      <c r="C845" s="308"/>
      <c r="D845" s="145"/>
      <c r="E845" s="145"/>
      <c r="F845" s="489">
        <v>0</v>
      </c>
      <c r="G845" s="489"/>
      <c r="H845" s="489">
        <f t="shared" si="83"/>
        <v>0</v>
      </c>
      <c r="I845" s="489">
        <v>0</v>
      </c>
      <c r="J845" s="489">
        <f t="shared" si="79"/>
        <v>0</v>
      </c>
      <c r="K845" s="869"/>
      <c r="L845" s="489">
        <f t="shared" si="80"/>
        <v>0</v>
      </c>
      <c r="M845" s="869"/>
    </row>
    <row r="846" spans="1:13" s="486" customFormat="1" x14ac:dyDescent="0.2">
      <c r="A846" s="503"/>
      <c r="B846" s="503"/>
      <c r="C846" s="299" t="s">
        <v>329</v>
      </c>
      <c r="D846" s="196">
        <v>376375</v>
      </c>
      <c r="E846" s="196"/>
      <c r="F846" s="495">
        <v>0</v>
      </c>
      <c r="G846" s="495"/>
      <c r="H846" s="495">
        <f t="shared" si="83"/>
        <v>376375</v>
      </c>
      <c r="I846" s="495">
        <v>376375</v>
      </c>
      <c r="J846" s="495">
        <f t="shared" si="79"/>
        <v>0</v>
      </c>
      <c r="K846" s="888">
        <f t="shared" si="81"/>
        <v>0</v>
      </c>
      <c r="L846" s="495">
        <f t="shared" si="80"/>
        <v>0</v>
      </c>
      <c r="M846" s="888">
        <f t="shared" si="82"/>
        <v>0</v>
      </c>
    </row>
    <row r="847" spans="1:13" x14ac:dyDescent="0.2">
      <c r="C847" s="299"/>
      <c r="D847" s="495"/>
      <c r="E847" s="495"/>
      <c r="F847" s="495">
        <v>0</v>
      </c>
      <c r="G847" s="495"/>
      <c r="H847" s="495">
        <f t="shared" si="83"/>
        <v>0</v>
      </c>
      <c r="I847" s="495">
        <v>0</v>
      </c>
      <c r="J847" s="495">
        <f t="shared" si="79"/>
        <v>0</v>
      </c>
      <c r="K847" s="888"/>
      <c r="L847" s="495">
        <f t="shared" si="80"/>
        <v>0</v>
      </c>
      <c r="M847" s="888"/>
    </row>
    <row r="848" spans="1:13" x14ac:dyDescent="0.2">
      <c r="C848" s="315" t="s">
        <v>939</v>
      </c>
      <c r="D848" s="510"/>
      <c r="E848" s="510"/>
      <c r="F848" s="520">
        <v>33405</v>
      </c>
      <c r="G848" s="520"/>
      <c r="H848" s="520">
        <f t="shared" si="83"/>
        <v>33405</v>
      </c>
      <c r="I848" s="520">
        <v>0</v>
      </c>
      <c r="J848" s="520">
        <f t="shared" ref="J848:J896" si="84">I848-D848</f>
        <v>0</v>
      </c>
      <c r="K848" s="942"/>
      <c r="L848" s="520">
        <f t="shared" ref="L848:L896" si="85">I848-H848</f>
        <v>-33405</v>
      </c>
      <c r="M848" s="942">
        <f t="shared" ref="M848:M896" si="86">L848/H848</f>
        <v>-1</v>
      </c>
    </row>
    <row r="849" spans="3:13" x14ac:dyDescent="0.2">
      <c r="C849" s="308"/>
      <c r="D849" s="145"/>
      <c r="E849" s="145"/>
      <c r="F849" s="489">
        <v>0</v>
      </c>
      <c r="G849" s="489"/>
      <c r="H849" s="489">
        <f t="shared" si="83"/>
        <v>0</v>
      </c>
      <c r="I849" s="489">
        <v>0</v>
      </c>
      <c r="J849" s="489">
        <f t="shared" si="84"/>
        <v>0</v>
      </c>
      <c r="K849" s="869"/>
      <c r="L849" s="489">
        <f t="shared" si="85"/>
        <v>0</v>
      </c>
      <c r="M849" s="869"/>
    </row>
    <row r="850" spans="3:13" x14ac:dyDescent="0.2">
      <c r="C850" s="316" t="s">
        <v>506</v>
      </c>
      <c r="D850" s="202">
        <v>34490</v>
      </c>
      <c r="E850" s="202"/>
      <c r="F850" s="493">
        <v>0</v>
      </c>
      <c r="G850" s="493"/>
      <c r="H850" s="493">
        <f t="shared" si="83"/>
        <v>34490</v>
      </c>
      <c r="I850" s="493">
        <v>0</v>
      </c>
      <c r="J850" s="493">
        <f t="shared" si="84"/>
        <v>-34490</v>
      </c>
      <c r="K850" s="868">
        <f t="shared" ref="K850:K896" si="87">J850/D850</f>
        <v>-1</v>
      </c>
      <c r="L850" s="493">
        <f t="shared" si="85"/>
        <v>-34490</v>
      </c>
      <c r="M850" s="868">
        <f t="shared" si="86"/>
        <v>-1</v>
      </c>
    </row>
    <row r="851" spans="3:13" x14ac:dyDescent="0.2">
      <c r="C851" s="308"/>
      <c r="D851" s="145"/>
      <c r="E851" s="145"/>
      <c r="F851" s="489">
        <v>0</v>
      </c>
      <c r="G851" s="489"/>
      <c r="H851" s="489">
        <f t="shared" si="83"/>
        <v>0</v>
      </c>
      <c r="I851" s="489">
        <v>0</v>
      </c>
      <c r="J851" s="489">
        <f t="shared" si="84"/>
        <v>0</v>
      </c>
      <c r="K851" s="869"/>
      <c r="L851" s="489">
        <f t="shared" si="85"/>
        <v>0</v>
      </c>
      <c r="M851" s="869"/>
    </row>
    <row r="852" spans="3:13" x14ac:dyDescent="0.2">
      <c r="C852" s="307" t="s">
        <v>842</v>
      </c>
      <c r="D852" s="202">
        <v>299018</v>
      </c>
      <c r="E852" s="202"/>
      <c r="F852" s="493">
        <v>0</v>
      </c>
      <c r="G852" s="493"/>
      <c r="H852" s="493">
        <f t="shared" si="83"/>
        <v>299018</v>
      </c>
      <c r="I852" s="493">
        <v>2209</v>
      </c>
      <c r="J852" s="493">
        <f t="shared" si="84"/>
        <v>-296809</v>
      </c>
      <c r="K852" s="868">
        <f t="shared" si="87"/>
        <v>-0.99261248486713172</v>
      </c>
      <c r="L852" s="493">
        <f t="shared" si="85"/>
        <v>-296809</v>
      </c>
      <c r="M852" s="868">
        <f t="shared" si="86"/>
        <v>-0.99261248486713172</v>
      </c>
    </row>
    <row r="853" spans="3:13" x14ac:dyDescent="0.2">
      <c r="C853" s="308" t="s">
        <v>119</v>
      </c>
      <c r="D853" s="489">
        <v>19822</v>
      </c>
      <c r="E853" s="145"/>
      <c r="F853" s="489">
        <v>0</v>
      </c>
      <c r="G853" s="489"/>
      <c r="H853" s="489">
        <f t="shared" si="83"/>
        <v>19822</v>
      </c>
      <c r="I853" s="489">
        <v>1643</v>
      </c>
      <c r="J853" s="489">
        <f t="shared" si="84"/>
        <v>-18179</v>
      </c>
      <c r="K853" s="869">
        <f t="shared" si="87"/>
        <v>-0.91711229946524064</v>
      </c>
      <c r="L853" s="489">
        <f t="shared" si="85"/>
        <v>-18179</v>
      </c>
      <c r="M853" s="869">
        <f t="shared" si="86"/>
        <v>-0.91711229946524064</v>
      </c>
    </row>
    <row r="854" spans="3:13" x14ac:dyDescent="0.2">
      <c r="C854" s="308"/>
      <c r="D854" s="145"/>
      <c r="E854" s="145"/>
      <c r="F854" s="489">
        <v>0</v>
      </c>
      <c r="G854" s="489"/>
      <c r="H854" s="489">
        <f t="shared" ref="H854:H902" si="88">D854+E854+F854+G854</f>
        <v>0</v>
      </c>
      <c r="I854" s="489">
        <v>0</v>
      </c>
      <c r="J854" s="489">
        <f t="shared" si="84"/>
        <v>0</v>
      </c>
      <c r="K854" s="869"/>
      <c r="L854" s="489">
        <f t="shared" si="85"/>
        <v>0</v>
      </c>
      <c r="M854" s="869"/>
    </row>
    <row r="855" spans="3:13" x14ac:dyDescent="0.2">
      <c r="C855" s="95" t="s">
        <v>329</v>
      </c>
      <c r="D855" s="182">
        <v>224264</v>
      </c>
      <c r="E855" s="182"/>
      <c r="F855" s="491">
        <v>0</v>
      </c>
      <c r="G855" s="491"/>
      <c r="H855" s="491">
        <f t="shared" si="88"/>
        <v>224264</v>
      </c>
      <c r="I855" s="491">
        <v>1657</v>
      </c>
      <c r="J855" s="491">
        <f t="shared" si="84"/>
        <v>-222607</v>
      </c>
      <c r="K855" s="866">
        <f t="shared" si="87"/>
        <v>-0.99261138658010206</v>
      </c>
      <c r="L855" s="491">
        <f t="shared" si="85"/>
        <v>-222607</v>
      </c>
      <c r="M855" s="866">
        <f t="shared" si="86"/>
        <v>-0.99261138658010206</v>
      </c>
    </row>
    <row r="856" spans="3:13" x14ac:dyDescent="0.2">
      <c r="C856" s="95"/>
      <c r="D856" s="182"/>
      <c r="E856" s="182"/>
      <c r="F856" s="491">
        <v>0</v>
      </c>
      <c r="G856" s="491"/>
      <c r="H856" s="491">
        <f t="shared" si="88"/>
        <v>0</v>
      </c>
      <c r="I856" s="491">
        <v>0</v>
      </c>
      <c r="J856" s="491">
        <f t="shared" si="84"/>
        <v>0</v>
      </c>
      <c r="K856" s="866"/>
      <c r="L856" s="491">
        <f t="shared" si="85"/>
        <v>0</v>
      </c>
      <c r="M856" s="866"/>
    </row>
    <row r="857" spans="3:13" ht="25.5" x14ac:dyDescent="0.2">
      <c r="C857" s="315" t="s">
        <v>699</v>
      </c>
      <c r="D857" s="197">
        <v>66168</v>
      </c>
      <c r="E857" s="197"/>
      <c r="F857" s="496">
        <v>0</v>
      </c>
      <c r="G857" s="496"/>
      <c r="H857" s="496">
        <f t="shared" si="88"/>
        <v>66168</v>
      </c>
      <c r="I857" s="496">
        <v>66168</v>
      </c>
      <c r="J857" s="496">
        <f t="shared" si="84"/>
        <v>0</v>
      </c>
      <c r="K857" s="887">
        <f t="shared" si="87"/>
        <v>0</v>
      </c>
      <c r="L857" s="496">
        <f t="shared" si="85"/>
        <v>0</v>
      </c>
      <c r="M857" s="887">
        <f t="shared" si="86"/>
        <v>0</v>
      </c>
    </row>
    <row r="858" spans="3:13" x14ac:dyDescent="0.2">
      <c r="C858" s="308"/>
      <c r="D858" s="145"/>
      <c r="E858" s="145"/>
      <c r="F858" s="489">
        <v>0</v>
      </c>
      <c r="G858" s="489"/>
      <c r="H858" s="489">
        <f t="shared" si="88"/>
        <v>0</v>
      </c>
      <c r="I858" s="489">
        <v>0</v>
      </c>
      <c r="J858" s="489">
        <f t="shared" si="84"/>
        <v>0</v>
      </c>
      <c r="K858" s="869"/>
      <c r="L858" s="489">
        <f t="shared" si="85"/>
        <v>0</v>
      </c>
      <c r="M858" s="869"/>
    </row>
    <row r="859" spans="3:13" x14ac:dyDescent="0.2">
      <c r="C859" s="95" t="s">
        <v>329</v>
      </c>
      <c r="D859" s="182">
        <v>66168</v>
      </c>
      <c r="E859" s="182"/>
      <c r="F859" s="491">
        <v>0</v>
      </c>
      <c r="G859" s="491"/>
      <c r="H859" s="491">
        <f t="shared" si="88"/>
        <v>66168</v>
      </c>
      <c r="I859" s="491">
        <v>66168</v>
      </c>
      <c r="J859" s="491">
        <f t="shared" si="84"/>
        <v>0</v>
      </c>
      <c r="K859" s="866">
        <f t="shared" si="87"/>
        <v>0</v>
      </c>
      <c r="L859" s="491">
        <f t="shared" si="85"/>
        <v>0</v>
      </c>
      <c r="M859" s="866">
        <f t="shared" si="86"/>
        <v>0</v>
      </c>
    </row>
    <row r="860" spans="3:13" x14ac:dyDescent="0.2">
      <c r="C860" s="95"/>
      <c r="D860" s="182"/>
      <c r="E860" s="182"/>
      <c r="F860" s="491">
        <v>0</v>
      </c>
      <c r="G860" s="491"/>
      <c r="H860" s="491">
        <f t="shared" si="88"/>
        <v>0</v>
      </c>
      <c r="I860" s="491">
        <v>0</v>
      </c>
      <c r="J860" s="491">
        <f t="shared" si="84"/>
        <v>0</v>
      </c>
      <c r="K860" s="866"/>
      <c r="L860" s="491">
        <f t="shared" si="85"/>
        <v>0</v>
      </c>
      <c r="M860" s="866"/>
    </row>
    <row r="861" spans="3:13" ht="25.5" x14ac:dyDescent="0.2">
      <c r="C861" s="315" t="s">
        <v>700</v>
      </c>
      <c r="D861" s="197">
        <v>7650</v>
      </c>
      <c r="E861" s="197"/>
      <c r="F861" s="496">
        <v>0</v>
      </c>
      <c r="G861" s="496"/>
      <c r="H861" s="496">
        <f t="shared" si="88"/>
        <v>7650</v>
      </c>
      <c r="I861" s="496">
        <v>0</v>
      </c>
      <c r="J861" s="496">
        <f t="shared" si="84"/>
        <v>-7650</v>
      </c>
      <c r="K861" s="887">
        <f t="shared" si="87"/>
        <v>-1</v>
      </c>
      <c r="L861" s="496">
        <f t="shared" si="85"/>
        <v>-7650</v>
      </c>
      <c r="M861" s="887">
        <f t="shared" si="86"/>
        <v>-1</v>
      </c>
    </row>
    <row r="862" spans="3:13" x14ac:dyDescent="0.2">
      <c r="C862" s="308" t="s">
        <v>119</v>
      </c>
      <c r="D862" s="489"/>
      <c r="E862" s="145"/>
      <c r="F862" s="489">
        <v>5717</v>
      </c>
      <c r="G862" s="489"/>
      <c r="H862" s="489">
        <f t="shared" si="88"/>
        <v>5717</v>
      </c>
      <c r="I862" s="489">
        <v>0</v>
      </c>
      <c r="J862" s="489">
        <f t="shared" si="84"/>
        <v>0</v>
      </c>
      <c r="K862" s="869"/>
      <c r="L862" s="489">
        <f t="shared" si="85"/>
        <v>-5717</v>
      </c>
      <c r="M862" s="869">
        <f t="shared" si="86"/>
        <v>-1</v>
      </c>
    </row>
    <row r="863" spans="3:13" x14ac:dyDescent="0.2">
      <c r="C863" s="95" t="s">
        <v>329</v>
      </c>
      <c r="D863" s="182">
        <v>7650</v>
      </c>
      <c r="E863" s="182"/>
      <c r="F863" s="491">
        <v>0</v>
      </c>
      <c r="G863" s="491"/>
      <c r="H863" s="491">
        <f t="shared" si="88"/>
        <v>7650</v>
      </c>
      <c r="I863" s="491">
        <v>0</v>
      </c>
      <c r="J863" s="491">
        <f t="shared" si="84"/>
        <v>-7650</v>
      </c>
      <c r="K863" s="866">
        <f t="shared" si="87"/>
        <v>-1</v>
      </c>
      <c r="L863" s="491">
        <f t="shared" si="85"/>
        <v>-7650</v>
      </c>
      <c r="M863" s="866">
        <f t="shared" si="86"/>
        <v>-1</v>
      </c>
    </row>
    <row r="864" spans="3:13" x14ac:dyDescent="0.2">
      <c r="C864" s="95"/>
      <c r="D864" s="182"/>
      <c r="E864" s="182"/>
      <c r="F864" s="491">
        <v>0</v>
      </c>
      <c r="G864" s="491"/>
      <c r="H864" s="491">
        <f t="shared" si="88"/>
        <v>0</v>
      </c>
      <c r="I864" s="491">
        <v>0</v>
      </c>
      <c r="J864" s="491">
        <f t="shared" si="84"/>
        <v>0</v>
      </c>
      <c r="K864" s="866"/>
      <c r="L864" s="491">
        <f t="shared" si="85"/>
        <v>0</v>
      </c>
      <c r="M864" s="866"/>
    </row>
    <row r="865" spans="1:13" ht="25.5" x14ac:dyDescent="0.2">
      <c r="C865" s="315" t="s">
        <v>701</v>
      </c>
      <c r="D865" s="197">
        <v>5062</v>
      </c>
      <c r="E865" s="197"/>
      <c r="F865" s="496">
        <v>0</v>
      </c>
      <c r="G865" s="496"/>
      <c r="H865" s="496">
        <f t="shared" si="88"/>
        <v>5062</v>
      </c>
      <c r="I865" s="496">
        <v>0</v>
      </c>
      <c r="J865" s="496">
        <f t="shared" si="84"/>
        <v>-5062</v>
      </c>
      <c r="K865" s="887">
        <f t="shared" si="87"/>
        <v>-1</v>
      </c>
      <c r="L865" s="496">
        <f t="shared" si="85"/>
        <v>-5062</v>
      </c>
      <c r="M865" s="887">
        <f t="shared" si="86"/>
        <v>-1</v>
      </c>
    </row>
    <row r="866" spans="1:13" x14ac:dyDescent="0.2">
      <c r="C866" s="308" t="s">
        <v>119</v>
      </c>
      <c r="D866" s="489">
        <v>3562</v>
      </c>
      <c r="E866" s="145"/>
      <c r="F866" s="489">
        <v>0</v>
      </c>
      <c r="G866" s="489"/>
      <c r="H866" s="489">
        <f t="shared" si="88"/>
        <v>3562</v>
      </c>
      <c r="I866" s="489">
        <v>0</v>
      </c>
      <c r="J866" s="489">
        <f t="shared" si="84"/>
        <v>-3562</v>
      </c>
      <c r="K866" s="869">
        <f t="shared" si="87"/>
        <v>-1</v>
      </c>
      <c r="L866" s="489">
        <f t="shared" si="85"/>
        <v>-3562</v>
      </c>
      <c r="M866" s="869">
        <f t="shared" si="86"/>
        <v>-1</v>
      </c>
    </row>
    <row r="867" spans="1:13" s="486" customFormat="1" x14ac:dyDescent="0.2">
      <c r="A867" s="503"/>
      <c r="B867" s="503"/>
      <c r="C867" s="308"/>
      <c r="D867" s="145"/>
      <c r="E867" s="145"/>
      <c r="F867" s="489">
        <v>0</v>
      </c>
      <c r="G867" s="489"/>
      <c r="H867" s="489">
        <f t="shared" si="88"/>
        <v>0</v>
      </c>
      <c r="I867" s="489">
        <v>0</v>
      </c>
      <c r="J867" s="489">
        <f t="shared" si="84"/>
        <v>0</v>
      </c>
      <c r="K867" s="869"/>
      <c r="L867" s="489">
        <f t="shared" si="85"/>
        <v>0</v>
      </c>
      <c r="M867" s="869"/>
    </row>
    <row r="868" spans="1:13" s="486" customFormat="1" x14ac:dyDescent="0.2">
      <c r="A868" s="503"/>
      <c r="B868" s="503"/>
      <c r="C868" s="95" t="s">
        <v>329</v>
      </c>
      <c r="D868" s="182">
        <v>5062</v>
      </c>
      <c r="E868" s="182"/>
      <c r="F868" s="491">
        <v>0</v>
      </c>
      <c r="G868" s="491"/>
      <c r="H868" s="491">
        <f t="shared" si="88"/>
        <v>5062</v>
      </c>
      <c r="I868" s="491">
        <v>0</v>
      </c>
      <c r="J868" s="491">
        <f t="shared" si="84"/>
        <v>-5062</v>
      </c>
      <c r="K868" s="866">
        <f t="shared" si="87"/>
        <v>-1</v>
      </c>
      <c r="L868" s="491">
        <f t="shared" si="85"/>
        <v>-5062</v>
      </c>
      <c r="M868" s="866">
        <f t="shared" si="86"/>
        <v>-1</v>
      </c>
    </row>
    <row r="869" spans="1:13" s="486" customFormat="1" x14ac:dyDescent="0.2">
      <c r="A869" s="503"/>
      <c r="B869" s="503"/>
      <c r="C869" s="95"/>
      <c r="D869" s="491"/>
      <c r="E869" s="491"/>
      <c r="F869" s="491">
        <v>0</v>
      </c>
      <c r="G869" s="491"/>
      <c r="H869" s="491">
        <f t="shared" si="88"/>
        <v>0</v>
      </c>
      <c r="I869" s="491">
        <v>0</v>
      </c>
      <c r="J869" s="491">
        <f t="shared" si="84"/>
        <v>0</v>
      </c>
      <c r="K869" s="866"/>
      <c r="L869" s="491">
        <f t="shared" si="85"/>
        <v>0</v>
      </c>
      <c r="M869" s="866"/>
    </row>
    <row r="870" spans="1:13" s="486" customFormat="1" x14ac:dyDescent="0.2">
      <c r="A870" s="503"/>
      <c r="B870" s="503"/>
      <c r="C870" s="315" t="s">
        <v>955</v>
      </c>
      <c r="D870" s="496"/>
      <c r="E870" s="496"/>
      <c r="F870" s="496">
        <v>7301</v>
      </c>
      <c r="G870" s="496"/>
      <c r="H870" s="496">
        <f t="shared" si="88"/>
        <v>7301</v>
      </c>
      <c r="I870" s="496">
        <v>0</v>
      </c>
      <c r="J870" s="496">
        <f t="shared" si="84"/>
        <v>0</v>
      </c>
      <c r="K870" s="887"/>
      <c r="L870" s="496">
        <f t="shared" si="85"/>
        <v>-7301</v>
      </c>
      <c r="M870" s="887">
        <f t="shared" si="86"/>
        <v>-1</v>
      </c>
    </row>
    <row r="871" spans="1:13" s="486" customFormat="1" x14ac:dyDescent="0.2">
      <c r="A871" s="503"/>
      <c r="B871" s="503"/>
      <c r="C871" s="308" t="s">
        <v>119</v>
      </c>
      <c r="D871" s="489"/>
      <c r="E871" s="489"/>
      <c r="F871" s="489">
        <v>5457</v>
      </c>
      <c r="G871" s="489"/>
      <c r="H871" s="489">
        <f t="shared" si="88"/>
        <v>5457</v>
      </c>
      <c r="I871" s="489">
        <v>0</v>
      </c>
      <c r="J871" s="489">
        <f t="shared" si="84"/>
        <v>0</v>
      </c>
      <c r="K871" s="869"/>
      <c r="L871" s="489">
        <f t="shared" si="85"/>
        <v>-5457</v>
      </c>
      <c r="M871" s="869">
        <f t="shared" si="86"/>
        <v>-1</v>
      </c>
    </row>
    <row r="872" spans="1:13" s="486" customFormat="1" x14ac:dyDescent="0.2">
      <c r="A872" s="503"/>
      <c r="B872" s="503"/>
      <c r="C872" s="95"/>
      <c r="D872" s="491"/>
      <c r="E872" s="491"/>
      <c r="F872" s="491">
        <v>0</v>
      </c>
      <c r="G872" s="491"/>
      <c r="H872" s="491">
        <f t="shared" si="88"/>
        <v>0</v>
      </c>
      <c r="I872" s="491">
        <v>0</v>
      </c>
      <c r="J872" s="491">
        <f t="shared" si="84"/>
        <v>0</v>
      </c>
      <c r="K872" s="866"/>
      <c r="L872" s="491">
        <f t="shared" si="85"/>
        <v>0</v>
      </c>
      <c r="M872" s="866"/>
    </row>
    <row r="873" spans="1:13" s="486" customFormat="1" x14ac:dyDescent="0.2">
      <c r="A873" s="503"/>
      <c r="B873" s="503"/>
      <c r="C873" s="95" t="s">
        <v>329</v>
      </c>
      <c r="D873" s="491"/>
      <c r="E873" s="491"/>
      <c r="F873" s="491">
        <v>7301</v>
      </c>
      <c r="G873" s="491"/>
      <c r="H873" s="491">
        <f t="shared" si="88"/>
        <v>7301</v>
      </c>
      <c r="I873" s="491">
        <v>0</v>
      </c>
      <c r="J873" s="491">
        <f t="shared" si="84"/>
        <v>0</v>
      </c>
      <c r="K873" s="866"/>
      <c r="L873" s="491">
        <f t="shared" si="85"/>
        <v>-7301</v>
      </c>
      <c r="M873" s="866">
        <f t="shared" si="86"/>
        <v>-1</v>
      </c>
    </row>
    <row r="874" spans="1:13" s="486" customFormat="1" x14ac:dyDescent="0.2">
      <c r="A874" s="503"/>
      <c r="B874" s="503"/>
      <c r="C874" s="95"/>
      <c r="D874" s="491"/>
      <c r="E874" s="491"/>
      <c r="F874" s="491">
        <v>0</v>
      </c>
      <c r="G874" s="491"/>
      <c r="H874" s="491">
        <f t="shared" si="88"/>
        <v>0</v>
      </c>
      <c r="I874" s="491">
        <v>0</v>
      </c>
      <c r="J874" s="491">
        <f t="shared" si="84"/>
        <v>0</v>
      </c>
      <c r="K874" s="866"/>
      <c r="L874" s="491">
        <f t="shared" si="85"/>
        <v>0</v>
      </c>
      <c r="M874" s="866"/>
    </row>
    <row r="875" spans="1:13" s="486" customFormat="1" ht="25.5" x14ac:dyDescent="0.2">
      <c r="A875" s="503"/>
      <c r="B875" s="503"/>
      <c r="C875" s="315" t="s">
        <v>956</v>
      </c>
      <c r="D875" s="491"/>
      <c r="E875" s="491"/>
      <c r="F875" s="491">
        <v>9629</v>
      </c>
      <c r="G875" s="491"/>
      <c r="H875" s="491">
        <f t="shared" si="88"/>
        <v>9629</v>
      </c>
      <c r="I875" s="491">
        <v>0</v>
      </c>
      <c r="J875" s="491">
        <f t="shared" si="84"/>
        <v>0</v>
      </c>
      <c r="K875" s="866"/>
      <c r="L875" s="491">
        <f t="shared" si="85"/>
        <v>-9629</v>
      </c>
      <c r="M875" s="866">
        <f t="shared" si="86"/>
        <v>-1</v>
      </c>
    </row>
    <row r="876" spans="1:13" x14ac:dyDescent="0.2">
      <c r="C876" s="308" t="s">
        <v>119</v>
      </c>
      <c r="D876" s="491"/>
      <c r="E876" s="491"/>
      <c r="F876" s="491">
        <v>1500</v>
      </c>
      <c r="G876" s="491"/>
      <c r="H876" s="491">
        <f t="shared" si="88"/>
        <v>1500</v>
      </c>
      <c r="I876" s="491">
        <v>0</v>
      </c>
      <c r="J876" s="491">
        <f t="shared" si="84"/>
        <v>0</v>
      </c>
      <c r="K876" s="866"/>
      <c r="L876" s="491">
        <f t="shared" si="85"/>
        <v>-1500</v>
      </c>
      <c r="M876" s="866">
        <f t="shared" si="86"/>
        <v>-1</v>
      </c>
    </row>
    <row r="877" spans="1:13" x14ac:dyDescent="0.2">
      <c r="C877" s="95"/>
      <c r="D877" s="491"/>
      <c r="E877" s="491"/>
      <c r="F877" s="491">
        <v>0</v>
      </c>
      <c r="G877" s="491"/>
      <c r="H877" s="491">
        <f t="shared" si="88"/>
        <v>0</v>
      </c>
      <c r="I877" s="491">
        <v>0</v>
      </c>
      <c r="J877" s="491">
        <f t="shared" si="84"/>
        <v>0</v>
      </c>
      <c r="K877" s="866"/>
      <c r="L877" s="491">
        <f t="shared" si="85"/>
        <v>0</v>
      </c>
      <c r="M877" s="866"/>
    </row>
    <row r="878" spans="1:13" x14ac:dyDescent="0.2">
      <c r="A878" s="459" t="s">
        <v>867</v>
      </c>
      <c r="B878" s="179" t="s">
        <v>202</v>
      </c>
      <c r="C878" s="317" t="s">
        <v>950</v>
      </c>
      <c r="D878" s="140">
        <f>D880+D883+D892+D894+D896+D898+D902+D904+D906+D912+D900+D908+D889+D910</f>
        <v>14733583</v>
      </c>
      <c r="E878" s="140"/>
      <c r="F878" s="140">
        <f>F880+F883+F892+F894+F896+F898+F902+F904+F906+F912+F900+F908+F889+F910</f>
        <v>3142335</v>
      </c>
      <c r="G878" s="722">
        <f>G880+G883+G892+G894+G896+G898+G902+G904+G906+G912+G900+G908+G889+G910+G915</f>
        <v>1550630</v>
      </c>
      <c r="H878" s="722">
        <f t="shared" si="88"/>
        <v>19426548</v>
      </c>
      <c r="I878" s="722">
        <v>18031433</v>
      </c>
      <c r="J878" s="722">
        <f t="shared" si="84"/>
        <v>3297850</v>
      </c>
      <c r="K878" s="937">
        <f t="shared" si="87"/>
        <v>0.22383217985740467</v>
      </c>
      <c r="L878" s="722">
        <f t="shared" si="85"/>
        <v>-1395115</v>
      </c>
      <c r="M878" s="937">
        <f t="shared" si="86"/>
        <v>-7.1814869013269889E-2</v>
      </c>
    </row>
    <row r="879" spans="1:13" x14ac:dyDescent="0.2">
      <c r="C879" s="317"/>
      <c r="D879" s="140"/>
      <c r="E879" s="140"/>
      <c r="F879" s="140">
        <v>0</v>
      </c>
      <c r="G879" s="722"/>
      <c r="H879" s="722">
        <f t="shared" si="88"/>
        <v>0</v>
      </c>
      <c r="I879" s="722">
        <v>0</v>
      </c>
      <c r="J879" s="722">
        <f t="shared" si="84"/>
        <v>0</v>
      </c>
      <c r="K879" s="937"/>
      <c r="L879" s="722">
        <f t="shared" si="85"/>
        <v>0</v>
      </c>
      <c r="M879" s="937"/>
    </row>
    <row r="880" spans="1:13" x14ac:dyDescent="0.2">
      <c r="C880" s="307" t="s">
        <v>241</v>
      </c>
      <c r="D880" s="202">
        <v>12208009</v>
      </c>
      <c r="E880" s="202"/>
      <c r="F880" s="493">
        <v>2892092</v>
      </c>
      <c r="G880" s="601">
        <v>1538630</v>
      </c>
      <c r="H880" s="601">
        <f t="shared" si="88"/>
        <v>16638731</v>
      </c>
      <c r="I880" s="601">
        <v>14358938</v>
      </c>
      <c r="J880" s="601">
        <f t="shared" si="84"/>
        <v>2150929</v>
      </c>
      <c r="K880" s="757">
        <f t="shared" si="87"/>
        <v>0.17618999134093036</v>
      </c>
      <c r="L880" s="601">
        <f t="shared" si="85"/>
        <v>-2279793</v>
      </c>
      <c r="M880" s="757">
        <f t="shared" si="86"/>
        <v>-0.13701724007678229</v>
      </c>
    </row>
    <row r="881" spans="1:13" x14ac:dyDescent="0.2">
      <c r="C881" s="308" t="s">
        <v>119</v>
      </c>
      <c r="D881" s="489">
        <v>7844564</v>
      </c>
      <c r="E881" s="145"/>
      <c r="F881" s="489">
        <v>1437994</v>
      </c>
      <c r="G881" s="781">
        <v>944791</v>
      </c>
      <c r="H881" s="567">
        <f t="shared" si="88"/>
        <v>10227349</v>
      </c>
      <c r="I881" s="567">
        <v>8779640</v>
      </c>
      <c r="J881" s="567">
        <f t="shared" si="84"/>
        <v>935076</v>
      </c>
      <c r="K881" s="878">
        <f t="shared" si="87"/>
        <v>0.11920050623591062</v>
      </c>
      <c r="L881" s="567">
        <f t="shared" si="85"/>
        <v>-1447709</v>
      </c>
      <c r="M881" s="878">
        <f t="shared" si="86"/>
        <v>-0.14155271322020985</v>
      </c>
    </row>
    <row r="882" spans="1:13" x14ac:dyDescent="0.2">
      <c r="C882" s="317"/>
      <c r="D882" s="140"/>
      <c r="E882" s="140"/>
      <c r="F882" s="140">
        <v>0</v>
      </c>
      <c r="G882" s="722"/>
      <c r="H882" s="722">
        <f t="shared" si="88"/>
        <v>0</v>
      </c>
      <c r="I882" s="722">
        <v>0</v>
      </c>
      <c r="J882" s="722">
        <f t="shared" si="84"/>
        <v>0</v>
      </c>
      <c r="K882" s="937"/>
      <c r="L882" s="722">
        <f t="shared" si="85"/>
        <v>0</v>
      </c>
      <c r="M882" s="937"/>
    </row>
    <row r="883" spans="1:13" x14ac:dyDescent="0.2">
      <c r="C883" s="307" t="s">
        <v>242</v>
      </c>
      <c r="D883" s="601">
        <v>845164</v>
      </c>
      <c r="E883" s="601"/>
      <c r="F883" s="601">
        <v>98775</v>
      </c>
      <c r="G883" s="601">
        <v>-18000</v>
      </c>
      <c r="H883" s="601">
        <v>925939</v>
      </c>
      <c r="I883" s="601">
        <v>833050</v>
      </c>
      <c r="J883" s="601">
        <f t="shared" si="84"/>
        <v>-12114</v>
      </c>
      <c r="K883" s="757">
        <f t="shared" si="87"/>
        <v>-1.4333312824493235E-2</v>
      </c>
      <c r="L883" s="601">
        <f t="shared" si="85"/>
        <v>-92889</v>
      </c>
      <c r="M883" s="757">
        <f t="shared" si="86"/>
        <v>-0.10031870349990658</v>
      </c>
    </row>
    <row r="884" spans="1:13" s="486" customFormat="1" x14ac:dyDescent="0.2">
      <c r="A884" s="503"/>
      <c r="B884" s="503"/>
      <c r="C884" s="308" t="s">
        <v>119</v>
      </c>
      <c r="D884" s="728">
        <v>1000</v>
      </c>
      <c r="E884" s="567"/>
      <c r="F884" s="567">
        <v>0</v>
      </c>
      <c r="G884" s="567"/>
      <c r="H884" s="567">
        <v>1000</v>
      </c>
      <c r="I884" s="567">
        <v>1000</v>
      </c>
      <c r="J884" s="567">
        <f t="shared" si="84"/>
        <v>0</v>
      </c>
      <c r="K884" s="878">
        <f t="shared" si="87"/>
        <v>0</v>
      </c>
      <c r="L884" s="567">
        <f t="shared" si="85"/>
        <v>0</v>
      </c>
      <c r="M884" s="878">
        <f t="shared" si="86"/>
        <v>0</v>
      </c>
    </row>
    <row r="885" spans="1:13" x14ac:dyDescent="0.2">
      <c r="C885" s="305" t="s">
        <v>664</v>
      </c>
      <c r="D885" s="612">
        <v>467969</v>
      </c>
      <c r="E885" s="612"/>
      <c r="F885" s="612">
        <v>106000</v>
      </c>
      <c r="G885" s="612">
        <v>-6000</v>
      </c>
      <c r="H885" s="612">
        <v>567969</v>
      </c>
      <c r="I885" s="612">
        <v>467969</v>
      </c>
      <c r="J885" s="612">
        <f t="shared" si="84"/>
        <v>0</v>
      </c>
      <c r="K885" s="880">
        <f t="shared" si="87"/>
        <v>0</v>
      </c>
      <c r="L885" s="612">
        <f t="shared" si="85"/>
        <v>-100000</v>
      </c>
      <c r="M885" s="880">
        <f t="shared" si="86"/>
        <v>-0.17606594726120617</v>
      </c>
    </row>
    <row r="886" spans="1:13" x14ac:dyDescent="0.2">
      <c r="C886" s="735" t="s">
        <v>119</v>
      </c>
      <c r="D886" s="206"/>
      <c r="E886" s="612"/>
      <c r="F886" s="612"/>
      <c r="G886" s="612"/>
      <c r="H886" s="612">
        <f t="shared" si="88"/>
        <v>0</v>
      </c>
      <c r="I886" s="612">
        <v>1000</v>
      </c>
      <c r="J886" s="612">
        <f t="shared" si="84"/>
        <v>1000</v>
      </c>
      <c r="K886" s="880"/>
      <c r="L886" s="612">
        <f t="shared" si="85"/>
        <v>1000</v>
      </c>
      <c r="M886" s="880"/>
    </row>
    <row r="887" spans="1:13" x14ac:dyDescent="0.2">
      <c r="C887" s="311" t="s">
        <v>243</v>
      </c>
      <c r="D887" s="612">
        <v>377195</v>
      </c>
      <c r="E887" s="612"/>
      <c r="F887" s="612">
        <v>-7225</v>
      </c>
      <c r="G887" s="612">
        <v>-12000</v>
      </c>
      <c r="H887" s="612">
        <f t="shared" si="88"/>
        <v>357970</v>
      </c>
      <c r="I887" s="612">
        <v>365081</v>
      </c>
      <c r="J887" s="612">
        <f t="shared" si="84"/>
        <v>-12114</v>
      </c>
      <c r="K887" s="880">
        <f t="shared" si="87"/>
        <v>-3.2116014263179525E-2</v>
      </c>
      <c r="L887" s="612">
        <f t="shared" si="85"/>
        <v>7111</v>
      </c>
      <c r="M887" s="880">
        <f t="shared" si="86"/>
        <v>1.9864793139089867E-2</v>
      </c>
    </row>
    <row r="888" spans="1:13" x14ac:dyDescent="0.2">
      <c r="C888" s="311"/>
      <c r="D888" s="201"/>
      <c r="E888" s="201"/>
      <c r="F888" s="490">
        <v>0</v>
      </c>
      <c r="G888" s="612"/>
      <c r="H888" s="612">
        <f t="shared" si="88"/>
        <v>0</v>
      </c>
      <c r="I888" s="612">
        <v>0</v>
      </c>
      <c r="J888" s="612">
        <f t="shared" si="84"/>
        <v>0</v>
      </c>
      <c r="K888" s="880"/>
      <c r="L888" s="612">
        <f t="shared" si="85"/>
        <v>0</v>
      </c>
      <c r="M888" s="880"/>
    </row>
    <row r="889" spans="1:13" x14ac:dyDescent="0.2">
      <c r="C889" s="316" t="s">
        <v>702</v>
      </c>
      <c r="D889" s="202">
        <v>413145</v>
      </c>
      <c r="E889" s="202"/>
      <c r="F889" s="493">
        <v>34922</v>
      </c>
      <c r="G889" s="601">
        <v>0</v>
      </c>
      <c r="H889" s="601">
        <v>448067</v>
      </c>
      <c r="I889" s="601">
        <v>447180</v>
      </c>
      <c r="J889" s="601">
        <f t="shared" si="84"/>
        <v>34035</v>
      </c>
      <c r="K889" s="757">
        <f t="shared" si="87"/>
        <v>8.2380278110590718E-2</v>
      </c>
      <c r="L889" s="601">
        <f t="shared" si="85"/>
        <v>-887</v>
      </c>
      <c r="M889" s="757">
        <f t="shared" si="86"/>
        <v>-1.9796146558438807E-3</v>
      </c>
    </row>
    <row r="890" spans="1:13" x14ac:dyDescent="0.2">
      <c r="C890" s="308" t="s">
        <v>119</v>
      </c>
      <c r="D890" s="489">
        <v>308778</v>
      </c>
      <c r="E890" s="145"/>
      <c r="F890" s="489">
        <v>26100</v>
      </c>
      <c r="G890" s="567"/>
      <c r="H890" s="567">
        <v>334878</v>
      </c>
      <c r="I890" s="567">
        <v>334215</v>
      </c>
      <c r="J890" s="567">
        <f t="shared" si="84"/>
        <v>25437</v>
      </c>
      <c r="K890" s="878">
        <f t="shared" si="87"/>
        <v>8.237957367429026E-2</v>
      </c>
      <c r="L890" s="567">
        <f t="shared" si="85"/>
        <v>-663</v>
      </c>
      <c r="M890" s="878">
        <f t="shared" si="86"/>
        <v>-1.9798254886854317E-3</v>
      </c>
    </row>
    <row r="891" spans="1:13" x14ac:dyDescent="0.2">
      <c r="C891" s="318"/>
      <c r="D891" s="201"/>
      <c r="E891" s="201"/>
      <c r="F891" s="490">
        <v>0</v>
      </c>
      <c r="G891" s="612"/>
      <c r="H891" s="612">
        <f t="shared" si="88"/>
        <v>0</v>
      </c>
      <c r="I891" s="612">
        <v>0</v>
      </c>
      <c r="J891" s="612">
        <f t="shared" si="84"/>
        <v>0</v>
      </c>
      <c r="K891" s="880"/>
      <c r="L891" s="612">
        <f t="shared" si="85"/>
        <v>0</v>
      </c>
      <c r="M891" s="880"/>
    </row>
    <row r="892" spans="1:13" x14ac:dyDescent="0.2">
      <c r="C892" s="307" t="s">
        <v>244</v>
      </c>
      <c r="D892" s="202">
        <v>137560</v>
      </c>
      <c r="E892" s="202"/>
      <c r="F892" s="493">
        <v>-50000</v>
      </c>
      <c r="G892" s="601">
        <v>20000</v>
      </c>
      <c r="H892" s="601">
        <f t="shared" si="88"/>
        <v>107560</v>
      </c>
      <c r="I892" s="601">
        <v>137560</v>
      </c>
      <c r="J892" s="601">
        <f t="shared" si="84"/>
        <v>0</v>
      </c>
      <c r="K892" s="757">
        <f t="shared" si="87"/>
        <v>0</v>
      </c>
      <c r="L892" s="601">
        <f t="shared" si="85"/>
        <v>30000</v>
      </c>
      <c r="M892" s="757">
        <f t="shared" si="86"/>
        <v>0.27891409445890664</v>
      </c>
    </row>
    <row r="893" spans="1:13" x14ac:dyDescent="0.2">
      <c r="C893" s="318"/>
      <c r="D893" s="201"/>
      <c r="E893" s="201"/>
      <c r="F893" s="490">
        <v>0</v>
      </c>
      <c r="G893" s="612"/>
      <c r="H893" s="601">
        <f t="shared" si="88"/>
        <v>0</v>
      </c>
      <c r="I893" s="601">
        <v>0</v>
      </c>
      <c r="J893" s="601">
        <f t="shared" si="84"/>
        <v>0</v>
      </c>
      <c r="K893" s="757"/>
      <c r="L893" s="601">
        <f t="shared" si="85"/>
        <v>0</v>
      </c>
      <c r="M893" s="757"/>
    </row>
    <row r="894" spans="1:13" x14ac:dyDescent="0.2">
      <c r="C894" s="307" t="s">
        <v>245</v>
      </c>
      <c r="D894" s="202">
        <v>425000</v>
      </c>
      <c r="E894" s="202"/>
      <c r="F894" s="493">
        <v>-40000</v>
      </c>
      <c r="G894" s="601"/>
      <c r="H894" s="601">
        <f t="shared" si="88"/>
        <v>385000</v>
      </c>
      <c r="I894" s="601">
        <v>425000</v>
      </c>
      <c r="J894" s="601">
        <f t="shared" si="84"/>
        <v>0</v>
      </c>
      <c r="K894" s="757">
        <f t="shared" si="87"/>
        <v>0</v>
      </c>
      <c r="L894" s="601">
        <f t="shared" si="85"/>
        <v>40000</v>
      </c>
      <c r="M894" s="757">
        <f t="shared" si="86"/>
        <v>0.1038961038961039</v>
      </c>
    </row>
    <row r="895" spans="1:13" x14ac:dyDescent="0.2">
      <c r="C895" s="307"/>
      <c r="D895" s="202"/>
      <c r="E895" s="202"/>
      <c r="F895" s="493">
        <v>0</v>
      </c>
      <c r="G895" s="601"/>
      <c r="H895" s="601">
        <f t="shared" si="88"/>
        <v>0</v>
      </c>
      <c r="I895" s="601">
        <v>0</v>
      </c>
      <c r="J895" s="601">
        <f t="shared" si="84"/>
        <v>0</v>
      </c>
      <c r="K895" s="757"/>
      <c r="L895" s="601">
        <f t="shared" si="85"/>
        <v>0</v>
      </c>
      <c r="M895" s="757"/>
    </row>
    <row r="896" spans="1:13" ht="25.5" x14ac:dyDescent="0.2">
      <c r="C896" s="315" t="s">
        <v>618</v>
      </c>
      <c r="D896" s="197">
        <v>55225</v>
      </c>
      <c r="E896" s="197"/>
      <c r="F896" s="496">
        <v>0</v>
      </c>
      <c r="G896" s="613"/>
      <c r="H896" s="601">
        <f t="shared" si="88"/>
        <v>55225</v>
      </c>
      <c r="I896" s="601">
        <v>55225</v>
      </c>
      <c r="J896" s="601">
        <f t="shared" si="84"/>
        <v>0</v>
      </c>
      <c r="K896" s="757">
        <f t="shared" si="87"/>
        <v>0</v>
      </c>
      <c r="L896" s="601">
        <f t="shared" si="85"/>
        <v>0</v>
      </c>
      <c r="M896" s="757">
        <f t="shared" si="86"/>
        <v>0</v>
      </c>
    </row>
    <row r="897" spans="1:13" x14ac:dyDescent="0.2">
      <c r="C897" s="315"/>
      <c r="D897" s="197"/>
      <c r="E897" s="197"/>
      <c r="F897" s="496">
        <v>0</v>
      </c>
      <c r="G897" s="613"/>
      <c r="H897" s="601">
        <f t="shared" si="88"/>
        <v>0</v>
      </c>
      <c r="I897" s="601">
        <v>0</v>
      </c>
      <c r="J897" s="601">
        <f t="shared" ref="J897:J952" si="89">I897-D897</f>
        <v>0</v>
      </c>
      <c r="K897" s="757"/>
      <c r="L897" s="601">
        <f t="shared" ref="L897:L952" si="90">I897-H897</f>
        <v>0</v>
      </c>
      <c r="M897" s="757"/>
    </row>
    <row r="898" spans="1:13" x14ac:dyDescent="0.2">
      <c r="C898" s="319" t="s">
        <v>246</v>
      </c>
      <c r="D898" s="197">
        <v>379510</v>
      </c>
      <c r="E898" s="197"/>
      <c r="F898" s="496">
        <v>0</v>
      </c>
      <c r="G898" s="613"/>
      <c r="H898" s="601">
        <f t="shared" si="88"/>
        <v>379510</v>
      </c>
      <c r="I898" s="601">
        <v>389510</v>
      </c>
      <c r="J898" s="601">
        <f t="shared" si="89"/>
        <v>10000</v>
      </c>
      <c r="K898" s="757">
        <f t="shared" ref="K898:K952" si="91">J898/D898</f>
        <v>2.634976680456378E-2</v>
      </c>
      <c r="L898" s="601">
        <f t="shared" si="90"/>
        <v>10000</v>
      </c>
      <c r="M898" s="757">
        <f t="shared" ref="M898:M952" si="92">L898/H898</f>
        <v>2.634976680456378E-2</v>
      </c>
    </row>
    <row r="899" spans="1:13" x14ac:dyDescent="0.2">
      <c r="C899" s="319"/>
      <c r="D899" s="197"/>
      <c r="E899" s="197"/>
      <c r="F899" s="496">
        <v>0</v>
      </c>
      <c r="G899" s="613"/>
      <c r="H899" s="601">
        <f t="shared" si="88"/>
        <v>0</v>
      </c>
      <c r="I899" s="601">
        <v>0</v>
      </c>
      <c r="J899" s="601">
        <f t="shared" si="89"/>
        <v>0</v>
      </c>
      <c r="K899" s="757"/>
      <c r="L899" s="601">
        <f t="shared" si="90"/>
        <v>0</v>
      </c>
      <c r="M899" s="757"/>
    </row>
    <row r="900" spans="1:13" x14ac:dyDescent="0.2">
      <c r="C900" s="319" t="s">
        <v>507</v>
      </c>
      <c r="D900" s="197">
        <v>9000</v>
      </c>
      <c r="E900" s="197"/>
      <c r="F900" s="496">
        <v>0</v>
      </c>
      <c r="G900" s="613"/>
      <c r="H900" s="601">
        <f t="shared" si="88"/>
        <v>9000</v>
      </c>
      <c r="I900" s="601">
        <v>9000</v>
      </c>
      <c r="J900" s="601">
        <f t="shared" si="89"/>
        <v>0</v>
      </c>
      <c r="K900" s="757">
        <f t="shared" si="91"/>
        <v>0</v>
      </c>
      <c r="L900" s="601">
        <f t="shared" si="90"/>
        <v>0</v>
      </c>
      <c r="M900" s="757">
        <f t="shared" si="92"/>
        <v>0</v>
      </c>
    </row>
    <row r="901" spans="1:13" x14ac:dyDescent="0.2">
      <c r="C901" s="311"/>
      <c r="D901" s="201"/>
      <c r="E901" s="201"/>
      <c r="F901" s="490">
        <v>0</v>
      </c>
      <c r="G901" s="612"/>
      <c r="H901" s="601">
        <f t="shared" si="88"/>
        <v>0</v>
      </c>
      <c r="I901" s="601">
        <v>0</v>
      </c>
      <c r="J901" s="601">
        <f t="shared" si="89"/>
        <v>0</v>
      </c>
      <c r="K901" s="757"/>
      <c r="L901" s="601">
        <f t="shared" si="90"/>
        <v>0</v>
      </c>
      <c r="M901" s="757"/>
    </row>
    <row r="902" spans="1:13" x14ac:dyDescent="0.2">
      <c r="C902" s="307" t="s">
        <v>247</v>
      </c>
      <c r="D902" s="202">
        <v>6230</v>
      </c>
      <c r="E902" s="202"/>
      <c r="F902" s="493">
        <v>0</v>
      </c>
      <c r="G902" s="601"/>
      <c r="H902" s="601">
        <f t="shared" si="88"/>
        <v>6230</v>
      </c>
      <c r="I902" s="601">
        <v>6230</v>
      </c>
      <c r="J902" s="601">
        <f t="shared" si="89"/>
        <v>0</v>
      </c>
      <c r="K902" s="757">
        <f t="shared" si="91"/>
        <v>0</v>
      </c>
      <c r="L902" s="601">
        <f t="shared" si="90"/>
        <v>0</v>
      </c>
      <c r="M902" s="757">
        <f t="shared" si="92"/>
        <v>0</v>
      </c>
    </row>
    <row r="903" spans="1:13" x14ac:dyDescent="0.2">
      <c r="C903" s="307"/>
      <c r="D903" s="202"/>
      <c r="E903" s="202"/>
      <c r="F903" s="493">
        <v>0</v>
      </c>
      <c r="G903" s="601"/>
      <c r="H903" s="601">
        <f t="shared" ref="H903:H958" si="93">D903+E903+F903+G903</f>
        <v>0</v>
      </c>
      <c r="I903" s="601">
        <v>0</v>
      </c>
      <c r="J903" s="601">
        <f t="shared" si="89"/>
        <v>0</v>
      </c>
      <c r="K903" s="757"/>
      <c r="L903" s="601">
        <f t="shared" si="90"/>
        <v>0</v>
      </c>
      <c r="M903" s="757"/>
    </row>
    <row r="904" spans="1:13" x14ac:dyDescent="0.2">
      <c r="C904" s="307" t="s">
        <v>248</v>
      </c>
      <c r="D904" s="202">
        <v>25170</v>
      </c>
      <c r="E904" s="202"/>
      <c r="F904" s="493">
        <v>0</v>
      </c>
      <c r="G904" s="601"/>
      <c r="H904" s="601">
        <f t="shared" si="93"/>
        <v>25170</v>
      </c>
      <c r="I904" s="601">
        <v>25170</v>
      </c>
      <c r="J904" s="601">
        <f t="shared" si="89"/>
        <v>0</v>
      </c>
      <c r="K904" s="757">
        <f t="shared" si="91"/>
        <v>0</v>
      </c>
      <c r="L904" s="601">
        <f t="shared" si="90"/>
        <v>0</v>
      </c>
      <c r="M904" s="757">
        <f t="shared" si="92"/>
        <v>0</v>
      </c>
    </row>
    <row r="905" spans="1:13" x14ac:dyDescent="0.2">
      <c r="C905" s="307"/>
      <c r="D905" s="202"/>
      <c r="E905" s="202"/>
      <c r="F905" s="493">
        <v>0</v>
      </c>
      <c r="G905" s="601"/>
      <c r="H905" s="601">
        <f t="shared" si="93"/>
        <v>0</v>
      </c>
      <c r="I905" s="601">
        <v>0</v>
      </c>
      <c r="J905" s="601">
        <f t="shared" si="89"/>
        <v>0</v>
      </c>
      <c r="K905" s="757"/>
      <c r="L905" s="601">
        <f t="shared" si="90"/>
        <v>0</v>
      </c>
      <c r="M905" s="757"/>
    </row>
    <row r="906" spans="1:13" x14ac:dyDescent="0.2">
      <c r="C906" s="307" t="s">
        <v>611</v>
      </c>
      <c r="D906" s="202">
        <v>15170</v>
      </c>
      <c r="E906" s="202"/>
      <c r="F906" s="493">
        <v>0</v>
      </c>
      <c r="G906" s="601"/>
      <c r="H906" s="601">
        <f t="shared" si="93"/>
        <v>15170</v>
      </c>
      <c r="I906" s="601">
        <v>15170</v>
      </c>
      <c r="J906" s="601">
        <f t="shared" si="89"/>
        <v>0</v>
      </c>
      <c r="K906" s="757">
        <f t="shared" si="91"/>
        <v>0</v>
      </c>
      <c r="L906" s="601">
        <f t="shared" si="90"/>
        <v>0</v>
      </c>
      <c r="M906" s="757">
        <f t="shared" si="92"/>
        <v>0</v>
      </c>
    </row>
    <row r="907" spans="1:13" x14ac:dyDescent="0.2">
      <c r="C907" s="6"/>
      <c r="D907" s="10"/>
      <c r="E907" s="10"/>
      <c r="F907" s="10">
        <v>0</v>
      </c>
      <c r="G907" s="46"/>
      <c r="H907" s="601">
        <f t="shared" si="93"/>
        <v>0</v>
      </c>
      <c r="I907" s="601">
        <v>0</v>
      </c>
      <c r="J907" s="601">
        <f t="shared" si="89"/>
        <v>0</v>
      </c>
      <c r="K907" s="757"/>
      <c r="L907" s="601">
        <f t="shared" si="90"/>
        <v>0</v>
      </c>
      <c r="M907" s="757"/>
    </row>
    <row r="908" spans="1:13" x14ac:dyDescent="0.2">
      <c r="C908" s="307" t="s">
        <v>612</v>
      </c>
      <c r="D908" s="202">
        <v>14400</v>
      </c>
      <c r="E908" s="202"/>
      <c r="F908" s="493">
        <v>0</v>
      </c>
      <c r="G908" s="601"/>
      <c r="H908" s="601">
        <f t="shared" si="93"/>
        <v>14400</v>
      </c>
      <c r="I908" s="601">
        <v>14400</v>
      </c>
      <c r="J908" s="601">
        <f t="shared" si="89"/>
        <v>0</v>
      </c>
      <c r="K908" s="757">
        <f t="shared" si="91"/>
        <v>0</v>
      </c>
      <c r="L908" s="601">
        <f t="shared" si="90"/>
        <v>0</v>
      </c>
      <c r="M908" s="757">
        <f t="shared" si="92"/>
        <v>0</v>
      </c>
    </row>
    <row r="909" spans="1:13" x14ac:dyDescent="0.2">
      <c r="C909" s="307"/>
      <c r="D909" s="202"/>
      <c r="E909" s="202"/>
      <c r="F909" s="493">
        <v>0</v>
      </c>
      <c r="G909" s="601"/>
      <c r="H909" s="601">
        <f t="shared" si="93"/>
        <v>0</v>
      </c>
      <c r="I909" s="601">
        <v>0</v>
      </c>
      <c r="J909" s="601">
        <f t="shared" si="89"/>
        <v>0</v>
      </c>
      <c r="K909" s="757"/>
      <c r="L909" s="601">
        <f t="shared" si="90"/>
        <v>0</v>
      </c>
      <c r="M909" s="757"/>
    </row>
    <row r="910" spans="1:13" x14ac:dyDescent="0.2">
      <c r="C910" s="307" t="s">
        <v>665</v>
      </c>
      <c r="D910" s="202">
        <v>100000</v>
      </c>
      <c r="E910" s="202"/>
      <c r="F910" s="493">
        <v>0</v>
      </c>
      <c r="G910" s="601"/>
      <c r="H910" s="601">
        <f t="shared" si="93"/>
        <v>100000</v>
      </c>
      <c r="I910" s="601">
        <v>115000</v>
      </c>
      <c r="J910" s="601">
        <f t="shared" si="89"/>
        <v>15000</v>
      </c>
      <c r="K910" s="757">
        <f t="shared" si="91"/>
        <v>0.15</v>
      </c>
      <c r="L910" s="601">
        <f t="shared" si="90"/>
        <v>15000</v>
      </c>
      <c r="M910" s="757">
        <f t="shared" si="92"/>
        <v>0.15</v>
      </c>
    </row>
    <row r="911" spans="1:13" x14ac:dyDescent="0.2">
      <c r="C911" s="307"/>
      <c r="D911" s="202"/>
      <c r="E911" s="202"/>
      <c r="F911" s="493">
        <v>0</v>
      </c>
      <c r="G911" s="601"/>
      <c r="H911" s="601">
        <f t="shared" si="93"/>
        <v>0</v>
      </c>
      <c r="I911" s="601">
        <v>0</v>
      </c>
      <c r="J911" s="601">
        <f t="shared" si="89"/>
        <v>0</v>
      </c>
      <c r="K911" s="757"/>
      <c r="L911" s="601">
        <f t="shared" si="90"/>
        <v>0</v>
      </c>
      <c r="M911" s="757"/>
    </row>
    <row r="912" spans="1:13" s="486" customFormat="1" x14ac:dyDescent="0.2">
      <c r="A912" s="503"/>
      <c r="B912" s="503"/>
      <c r="C912" s="307" t="s">
        <v>475</v>
      </c>
      <c r="D912" s="202">
        <v>100000</v>
      </c>
      <c r="E912" s="202"/>
      <c r="F912" s="493">
        <v>206546</v>
      </c>
      <c r="G912" s="601"/>
      <c r="H912" s="601">
        <f t="shared" si="93"/>
        <v>306546</v>
      </c>
      <c r="I912" s="601">
        <v>1200000</v>
      </c>
      <c r="J912" s="601">
        <f t="shared" si="89"/>
        <v>1100000</v>
      </c>
      <c r="K912" s="757">
        <f t="shared" si="91"/>
        <v>11</v>
      </c>
      <c r="L912" s="601">
        <f t="shared" si="90"/>
        <v>893454</v>
      </c>
      <c r="M912" s="757">
        <f t="shared" si="92"/>
        <v>2.9145837818793918</v>
      </c>
    </row>
    <row r="913" spans="1:13" s="486" customFormat="1" x14ac:dyDescent="0.2">
      <c r="A913" s="503"/>
      <c r="B913" s="503"/>
      <c r="C913" s="308" t="s">
        <v>119</v>
      </c>
      <c r="D913" s="489">
        <v>30000</v>
      </c>
      <c r="E913" s="145"/>
      <c r="F913" s="489">
        <v>176125</v>
      </c>
      <c r="G913" s="567"/>
      <c r="H913" s="567">
        <f t="shared" si="93"/>
        <v>206125</v>
      </c>
      <c r="I913" s="567">
        <v>658800</v>
      </c>
      <c r="J913" s="567">
        <f t="shared" si="89"/>
        <v>628800</v>
      </c>
      <c r="K913" s="878">
        <f t="shared" si="91"/>
        <v>20.96</v>
      </c>
      <c r="L913" s="567">
        <f t="shared" si="90"/>
        <v>452675</v>
      </c>
      <c r="M913" s="878">
        <f t="shared" si="92"/>
        <v>2.1961188599151003</v>
      </c>
    </row>
    <row r="914" spans="1:13" x14ac:dyDescent="0.2">
      <c r="C914" s="308"/>
      <c r="D914" s="489"/>
      <c r="E914" s="489"/>
      <c r="F914" s="489"/>
      <c r="G914" s="567"/>
      <c r="H914" s="567">
        <f t="shared" si="93"/>
        <v>0</v>
      </c>
      <c r="I914" s="567">
        <v>0</v>
      </c>
      <c r="J914" s="567">
        <f t="shared" si="89"/>
        <v>0</v>
      </c>
      <c r="K914" s="878"/>
      <c r="L914" s="567">
        <f t="shared" si="90"/>
        <v>0</v>
      </c>
      <c r="M914" s="878"/>
    </row>
    <row r="915" spans="1:13" x14ac:dyDescent="0.2">
      <c r="C915" s="650" t="s">
        <v>1043</v>
      </c>
      <c r="D915" s="567"/>
      <c r="E915" s="567"/>
      <c r="F915" s="567"/>
      <c r="G915" s="601">
        <v>10000</v>
      </c>
      <c r="H915" s="601">
        <f t="shared" si="93"/>
        <v>10000</v>
      </c>
      <c r="I915" s="601">
        <v>0</v>
      </c>
      <c r="J915" s="601">
        <f t="shared" si="89"/>
        <v>0</v>
      </c>
      <c r="K915" s="757"/>
      <c r="L915" s="601">
        <f t="shared" si="90"/>
        <v>-10000</v>
      </c>
      <c r="M915" s="757">
        <f t="shared" si="92"/>
        <v>-1</v>
      </c>
    </row>
    <row r="916" spans="1:13" x14ac:dyDescent="0.2">
      <c r="C916" s="343"/>
      <c r="D916" s="138"/>
      <c r="E916" s="138"/>
      <c r="F916" s="138">
        <v>0</v>
      </c>
      <c r="G916" s="138"/>
      <c r="H916" s="138">
        <f t="shared" si="93"/>
        <v>0</v>
      </c>
      <c r="I916" s="138">
        <v>0</v>
      </c>
      <c r="J916" s="138">
        <f t="shared" si="89"/>
        <v>0</v>
      </c>
      <c r="K916" s="930"/>
      <c r="L916" s="138">
        <f t="shared" si="90"/>
        <v>0</v>
      </c>
      <c r="M916" s="930"/>
    </row>
    <row r="917" spans="1:13" x14ac:dyDescent="0.2">
      <c r="C917" s="379"/>
      <c r="D917" s="119"/>
      <c r="E917" s="119"/>
      <c r="F917" s="119">
        <v>0</v>
      </c>
      <c r="G917" s="119"/>
      <c r="H917" s="119">
        <f t="shared" si="93"/>
        <v>0</v>
      </c>
      <c r="I917" s="119">
        <v>0</v>
      </c>
      <c r="J917" s="119">
        <f t="shared" si="89"/>
        <v>0</v>
      </c>
      <c r="K917" s="943"/>
      <c r="L917" s="119">
        <f t="shared" si="90"/>
        <v>0</v>
      </c>
      <c r="M917" s="943"/>
    </row>
    <row r="918" spans="1:13" ht="15.75" x14ac:dyDescent="0.2">
      <c r="C918" s="436" t="s">
        <v>706</v>
      </c>
      <c r="D918" s="184"/>
      <c r="E918" s="184"/>
      <c r="F918" s="184">
        <v>0</v>
      </c>
      <c r="G918" s="184"/>
      <c r="H918" s="184">
        <f t="shared" si="93"/>
        <v>0</v>
      </c>
      <c r="I918" s="184">
        <v>0</v>
      </c>
      <c r="J918" s="184">
        <f t="shared" si="89"/>
        <v>0</v>
      </c>
      <c r="K918" s="944"/>
      <c r="L918" s="184">
        <f t="shared" si="90"/>
        <v>0</v>
      </c>
      <c r="M918" s="944"/>
    </row>
    <row r="919" spans="1:13" x14ac:dyDescent="0.2">
      <c r="C919" s="380"/>
      <c r="D919" s="185"/>
      <c r="E919" s="185"/>
      <c r="F919" s="494">
        <v>0</v>
      </c>
      <c r="G919" s="494"/>
      <c r="H919" s="494">
        <f t="shared" si="93"/>
        <v>0</v>
      </c>
      <c r="I919" s="494">
        <v>0</v>
      </c>
      <c r="J919" s="494">
        <f t="shared" si="89"/>
        <v>0</v>
      </c>
      <c r="K919" s="945"/>
      <c r="L919" s="494">
        <f t="shared" si="90"/>
        <v>0</v>
      </c>
      <c r="M919" s="945"/>
    </row>
    <row r="920" spans="1:13" x14ac:dyDescent="0.2">
      <c r="C920" s="380" t="s">
        <v>193</v>
      </c>
      <c r="D920" s="185">
        <f>SUM(D927,D932)</f>
        <v>23739972</v>
      </c>
      <c r="E920" s="185"/>
      <c r="F920" s="494">
        <f>SUM(F927,F932)</f>
        <v>1703078</v>
      </c>
      <c r="G920" s="652">
        <f>G927+G932</f>
        <v>10356</v>
      </c>
      <c r="H920" s="652">
        <f t="shared" si="93"/>
        <v>25453406</v>
      </c>
      <c r="I920" s="652">
        <v>27428628</v>
      </c>
      <c r="J920" s="652">
        <f t="shared" si="89"/>
        <v>3688656</v>
      </c>
      <c r="K920" s="934">
        <f t="shared" si="91"/>
        <v>0.15537743683943689</v>
      </c>
      <c r="L920" s="652">
        <f t="shared" si="90"/>
        <v>1975222</v>
      </c>
      <c r="M920" s="934">
        <f t="shared" si="92"/>
        <v>7.7601480917720789E-2</v>
      </c>
    </row>
    <row r="921" spans="1:13" x14ac:dyDescent="0.2">
      <c r="C921" s="381" t="s">
        <v>479</v>
      </c>
      <c r="D921" s="186">
        <v>2400000</v>
      </c>
      <c r="E921" s="186"/>
      <c r="F921" s="186">
        <v>1200000</v>
      </c>
      <c r="G921" s="653">
        <v>700000</v>
      </c>
      <c r="H921" s="653">
        <f t="shared" si="93"/>
        <v>4300000</v>
      </c>
      <c r="I921" s="653">
        <v>4500000</v>
      </c>
      <c r="J921" s="653">
        <f t="shared" si="89"/>
        <v>2100000</v>
      </c>
      <c r="K921" s="823">
        <f t="shared" si="91"/>
        <v>0.875</v>
      </c>
      <c r="L921" s="653">
        <f t="shared" si="90"/>
        <v>200000</v>
      </c>
      <c r="M921" s="823">
        <f t="shared" si="92"/>
        <v>4.6511627906976744E-2</v>
      </c>
    </row>
    <row r="922" spans="1:13" x14ac:dyDescent="0.2">
      <c r="C922" s="382" t="s">
        <v>116</v>
      </c>
      <c r="D922" s="187">
        <f>SUM(D923:D924)</f>
        <v>23739972</v>
      </c>
      <c r="E922" s="187"/>
      <c r="F922" s="187">
        <f>SUM(F923:F924)</f>
        <v>1703078</v>
      </c>
      <c r="G922" s="652">
        <f>G923+G924</f>
        <v>10356</v>
      </c>
      <c r="H922" s="652">
        <f t="shared" si="93"/>
        <v>25453406</v>
      </c>
      <c r="I922" s="652">
        <v>27428628</v>
      </c>
      <c r="J922" s="652">
        <f t="shared" si="89"/>
        <v>3688656</v>
      </c>
      <c r="K922" s="934">
        <f t="shared" si="91"/>
        <v>0.15537743683943689</v>
      </c>
      <c r="L922" s="652">
        <f t="shared" si="90"/>
        <v>1975222</v>
      </c>
      <c r="M922" s="934">
        <f t="shared" si="92"/>
        <v>7.7601480917720789E-2</v>
      </c>
    </row>
    <row r="923" spans="1:13" s="6" customFormat="1" x14ac:dyDescent="0.2">
      <c r="A923" s="503"/>
      <c r="B923" s="503"/>
      <c r="C923" s="383" t="s">
        <v>117</v>
      </c>
      <c r="D923" s="186">
        <f>'2.2 OMATULUD'!B367</f>
        <v>5895341</v>
      </c>
      <c r="E923" s="186"/>
      <c r="F923" s="186">
        <v>835200</v>
      </c>
      <c r="G923" s="653">
        <f>'2.2 OMATULUD'!D367</f>
        <v>-154500</v>
      </c>
      <c r="H923" s="653">
        <f t="shared" si="93"/>
        <v>6576041</v>
      </c>
      <c r="I923" s="653">
        <v>6853000</v>
      </c>
      <c r="J923" s="653">
        <f t="shared" si="89"/>
        <v>957659</v>
      </c>
      <c r="K923" s="823">
        <f t="shared" si="91"/>
        <v>0.16244335993456527</v>
      </c>
      <c r="L923" s="653">
        <f t="shared" si="90"/>
        <v>276959</v>
      </c>
      <c r="M923" s="823">
        <f t="shared" si="92"/>
        <v>4.2116373666161756E-2</v>
      </c>
    </row>
    <row r="924" spans="1:13" x14ac:dyDescent="0.2">
      <c r="C924" s="352" t="s">
        <v>118</v>
      </c>
      <c r="D924" s="186">
        <f>D920-D923</f>
        <v>17844631</v>
      </c>
      <c r="E924" s="186"/>
      <c r="F924" s="186">
        <f>F920-F923</f>
        <v>867878</v>
      </c>
      <c r="G924" s="653">
        <f>G920-G923</f>
        <v>164856</v>
      </c>
      <c r="H924" s="653">
        <f t="shared" si="93"/>
        <v>18877365</v>
      </c>
      <c r="I924" s="653">
        <v>20575628</v>
      </c>
      <c r="J924" s="653">
        <f t="shared" si="89"/>
        <v>2730997</v>
      </c>
      <c r="K924" s="823">
        <f t="shared" si="91"/>
        <v>0.15304306376523</v>
      </c>
      <c r="L924" s="653">
        <f t="shared" si="90"/>
        <v>1698263</v>
      </c>
      <c r="M924" s="823">
        <f t="shared" si="92"/>
        <v>8.9962926499540588E-2</v>
      </c>
    </row>
    <row r="925" spans="1:13" x14ac:dyDescent="0.2">
      <c r="A925" s="459"/>
      <c r="B925" s="459"/>
      <c r="C925" s="473" t="s">
        <v>909</v>
      </c>
      <c r="D925" s="474">
        <f>D935+D962</f>
        <v>2400216</v>
      </c>
      <c r="E925" s="474"/>
      <c r="F925" s="474">
        <f>F935+F962</f>
        <v>127114</v>
      </c>
      <c r="G925" s="572">
        <f>G935+G962</f>
        <v>7740</v>
      </c>
      <c r="H925" s="572">
        <f t="shared" si="93"/>
        <v>2535070</v>
      </c>
      <c r="I925" s="572">
        <v>2724712</v>
      </c>
      <c r="J925" s="572">
        <f t="shared" si="89"/>
        <v>324496</v>
      </c>
      <c r="K925" s="877">
        <f t="shared" si="91"/>
        <v>0.13519449916174212</v>
      </c>
      <c r="L925" s="572">
        <f t="shared" si="90"/>
        <v>189642</v>
      </c>
      <c r="M925" s="877">
        <f t="shared" si="92"/>
        <v>7.4807401767998521E-2</v>
      </c>
    </row>
    <row r="926" spans="1:13" x14ac:dyDescent="0.2">
      <c r="C926" s="384"/>
      <c r="D926" s="186"/>
      <c r="E926" s="186"/>
      <c r="F926" s="186">
        <v>0</v>
      </c>
      <c r="G926" s="653"/>
      <c r="H926" s="653">
        <f t="shared" si="93"/>
        <v>0</v>
      </c>
      <c r="I926" s="653">
        <v>0</v>
      </c>
      <c r="J926" s="653">
        <f t="shared" si="89"/>
        <v>0</v>
      </c>
      <c r="K926" s="823"/>
      <c r="L926" s="653">
        <f t="shared" si="90"/>
        <v>0</v>
      </c>
      <c r="M926" s="823"/>
    </row>
    <row r="927" spans="1:13" ht="15" x14ac:dyDescent="0.2">
      <c r="A927" s="459" t="s">
        <v>869</v>
      </c>
      <c r="B927" s="459" t="s">
        <v>873</v>
      </c>
      <c r="C927" s="385" t="s">
        <v>249</v>
      </c>
      <c r="D927" s="188">
        <f>SUM(D928)</f>
        <v>3578140</v>
      </c>
      <c r="E927" s="188"/>
      <c r="F927" s="188">
        <v>312000</v>
      </c>
      <c r="G927" s="654">
        <f>G928</f>
        <v>0</v>
      </c>
      <c r="H927" s="654">
        <f t="shared" si="93"/>
        <v>3890140</v>
      </c>
      <c r="I927" s="654">
        <v>3758140</v>
      </c>
      <c r="J927" s="654">
        <f t="shared" si="89"/>
        <v>180000</v>
      </c>
      <c r="K927" s="946">
        <f t="shared" si="91"/>
        <v>5.0305465968352274E-2</v>
      </c>
      <c r="L927" s="654">
        <f t="shared" si="90"/>
        <v>-132000</v>
      </c>
      <c r="M927" s="946">
        <f t="shared" si="92"/>
        <v>-3.3931940752774961E-2</v>
      </c>
    </row>
    <row r="928" spans="1:13" x14ac:dyDescent="0.2">
      <c r="C928" s="386" t="s">
        <v>250</v>
      </c>
      <c r="D928" s="131">
        <f>SUM(D930)</f>
        <v>3578140</v>
      </c>
      <c r="E928" s="131"/>
      <c r="F928" s="131">
        <v>312000</v>
      </c>
      <c r="G928" s="655">
        <f>G930</f>
        <v>0</v>
      </c>
      <c r="H928" s="655">
        <f t="shared" si="93"/>
        <v>3890140</v>
      </c>
      <c r="I928" s="655">
        <v>3758140</v>
      </c>
      <c r="J928" s="655">
        <f t="shared" si="89"/>
        <v>180000</v>
      </c>
      <c r="K928" s="934">
        <f t="shared" si="91"/>
        <v>5.0305465968352274E-2</v>
      </c>
      <c r="L928" s="655">
        <f t="shared" si="90"/>
        <v>-132000</v>
      </c>
      <c r="M928" s="934">
        <f t="shared" si="92"/>
        <v>-3.3931940752774961E-2</v>
      </c>
    </row>
    <row r="929" spans="1:13" s="65" customFormat="1" x14ac:dyDescent="0.2">
      <c r="A929" s="503"/>
      <c r="B929" s="503"/>
      <c r="C929" s="387" t="s">
        <v>196</v>
      </c>
      <c r="D929" s="131"/>
      <c r="E929" s="131"/>
      <c r="F929" s="131">
        <v>0</v>
      </c>
      <c r="G929" s="655"/>
      <c r="H929" s="655">
        <f t="shared" si="93"/>
        <v>0</v>
      </c>
      <c r="I929" s="655">
        <v>0</v>
      </c>
      <c r="J929" s="655">
        <f t="shared" si="89"/>
        <v>0</v>
      </c>
      <c r="K929" s="934"/>
      <c r="L929" s="655">
        <f t="shared" si="90"/>
        <v>0</v>
      </c>
      <c r="M929" s="934"/>
    </row>
    <row r="930" spans="1:13" x14ac:dyDescent="0.2">
      <c r="C930" s="106" t="s">
        <v>251</v>
      </c>
      <c r="D930" s="194">
        <f>2996000+582140</f>
        <v>3578140</v>
      </c>
      <c r="E930" s="194"/>
      <c r="F930" s="194">
        <v>312000</v>
      </c>
      <c r="G930" s="194"/>
      <c r="H930" s="194">
        <f t="shared" si="93"/>
        <v>3890140</v>
      </c>
      <c r="I930" s="194">
        <v>3758140</v>
      </c>
      <c r="J930" s="194">
        <f t="shared" si="89"/>
        <v>180000</v>
      </c>
      <c r="K930" s="887">
        <f t="shared" si="91"/>
        <v>5.0305465968352274E-2</v>
      </c>
      <c r="L930" s="194">
        <f t="shared" si="90"/>
        <v>-132000</v>
      </c>
      <c r="M930" s="887">
        <f t="shared" si="92"/>
        <v>-3.3931940752774961E-2</v>
      </c>
    </row>
    <row r="931" spans="1:13" x14ac:dyDescent="0.2">
      <c r="A931" s="65"/>
      <c r="B931" s="65"/>
      <c r="C931" s="253"/>
      <c r="D931" s="190"/>
      <c r="E931" s="190"/>
      <c r="F931" s="190">
        <v>0</v>
      </c>
      <c r="G931" s="645"/>
      <c r="H931" s="645">
        <f t="shared" si="93"/>
        <v>0</v>
      </c>
      <c r="I931" s="645">
        <v>0</v>
      </c>
      <c r="J931" s="645">
        <f t="shared" si="89"/>
        <v>0</v>
      </c>
      <c r="K931" s="947"/>
      <c r="L931" s="645">
        <f t="shared" si="90"/>
        <v>0</v>
      </c>
      <c r="M931" s="947"/>
    </row>
    <row r="932" spans="1:13" x14ac:dyDescent="0.2">
      <c r="C932" s="380" t="s">
        <v>197</v>
      </c>
      <c r="D932" s="185">
        <f>SUM(D934,D939,D948,D961,D965,D937)</f>
        <v>20161832</v>
      </c>
      <c r="E932" s="185"/>
      <c r="F932" s="494">
        <f>SUM(F934,F939,F948,F961,F965,F937)</f>
        <v>1391078</v>
      </c>
      <c r="G932" s="652">
        <f>G934+G937+G939+G948+G961+G965</f>
        <v>10356</v>
      </c>
      <c r="H932" s="652">
        <f t="shared" si="93"/>
        <v>21563266</v>
      </c>
      <c r="I932" s="652">
        <v>23670488</v>
      </c>
      <c r="J932" s="652">
        <f t="shared" si="89"/>
        <v>3508656</v>
      </c>
      <c r="K932" s="934">
        <f t="shared" si="91"/>
        <v>0.1740246620445999</v>
      </c>
      <c r="L932" s="652">
        <f t="shared" si="90"/>
        <v>2107222</v>
      </c>
      <c r="M932" s="934">
        <f t="shared" si="92"/>
        <v>9.772276611529998E-2</v>
      </c>
    </row>
    <row r="933" spans="1:13" x14ac:dyDescent="0.2">
      <c r="C933" s="380"/>
      <c r="D933" s="185"/>
      <c r="E933" s="185"/>
      <c r="F933" s="494">
        <v>0</v>
      </c>
      <c r="G933" s="652"/>
      <c r="H933" s="652">
        <f t="shared" si="93"/>
        <v>0</v>
      </c>
      <c r="I933" s="652">
        <v>0</v>
      </c>
      <c r="J933" s="652">
        <f t="shared" si="89"/>
        <v>0</v>
      </c>
      <c r="K933" s="934"/>
      <c r="L933" s="652">
        <f t="shared" si="90"/>
        <v>0</v>
      </c>
      <c r="M933" s="934"/>
    </row>
    <row r="934" spans="1:13" x14ac:dyDescent="0.2">
      <c r="A934" s="459" t="s">
        <v>869</v>
      </c>
      <c r="B934" s="459" t="s">
        <v>873</v>
      </c>
      <c r="C934" s="115" t="s">
        <v>707</v>
      </c>
      <c r="D934" s="178">
        <v>3587128</v>
      </c>
      <c r="E934" s="178"/>
      <c r="F934" s="178">
        <v>170078</v>
      </c>
      <c r="G934" s="656">
        <v>10356</v>
      </c>
      <c r="H934" s="656">
        <f t="shared" si="93"/>
        <v>3767562</v>
      </c>
      <c r="I934" s="656">
        <v>4101388</v>
      </c>
      <c r="J934" s="656">
        <f t="shared" si="89"/>
        <v>514260</v>
      </c>
      <c r="K934" s="825">
        <f t="shared" si="91"/>
        <v>0.14336260094426517</v>
      </c>
      <c r="L934" s="656">
        <f t="shared" si="90"/>
        <v>333826</v>
      </c>
      <c r="M934" s="825">
        <f t="shared" si="92"/>
        <v>8.8605310277574734E-2</v>
      </c>
    </row>
    <row r="935" spans="1:13" x14ac:dyDescent="0.2">
      <c r="C935" s="389" t="s">
        <v>119</v>
      </c>
      <c r="D935" s="495">
        <f>2336166-7650</f>
        <v>2328516</v>
      </c>
      <c r="E935" s="196"/>
      <c r="F935" s="495">
        <v>127114</v>
      </c>
      <c r="G935" s="784">
        <v>7740</v>
      </c>
      <c r="H935" s="568">
        <f t="shared" si="93"/>
        <v>2463370</v>
      </c>
      <c r="I935" s="568">
        <v>2709712</v>
      </c>
      <c r="J935" s="568">
        <f t="shared" si="89"/>
        <v>381196</v>
      </c>
      <c r="K935" s="882">
        <f t="shared" si="91"/>
        <v>0.16370770052685918</v>
      </c>
      <c r="L935" s="568">
        <f t="shared" si="90"/>
        <v>246342</v>
      </c>
      <c r="M935" s="882">
        <f t="shared" si="92"/>
        <v>0.10000202973974677</v>
      </c>
    </row>
    <row r="936" spans="1:13" x14ac:dyDescent="0.2">
      <c r="C936" s="389"/>
      <c r="D936" s="196"/>
      <c r="E936" s="196"/>
      <c r="F936" s="495">
        <v>0</v>
      </c>
      <c r="G936" s="568"/>
      <c r="H936" s="568">
        <f t="shared" si="93"/>
        <v>0</v>
      </c>
      <c r="I936" s="568">
        <v>0</v>
      </c>
      <c r="J936" s="568">
        <f t="shared" si="89"/>
        <v>0</v>
      </c>
      <c r="K936" s="882"/>
      <c r="L936" s="568">
        <f t="shared" si="90"/>
        <v>0</v>
      </c>
      <c r="M936" s="882"/>
    </row>
    <row r="937" spans="1:13" x14ac:dyDescent="0.2">
      <c r="A937" s="459" t="s">
        <v>862</v>
      </c>
      <c r="B937" s="459" t="s">
        <v>873</v>
      </c>
      <c r="C937" s="115" t="s">
        <v>371</v>
      </c>
      <c r="D937" s="178">
        <f>76000-26000</f>
        <v>50000</v>
      </c>
      <c r="E937" s="178"/>
      <c r="F937" s="178">
        <v>0</v>
      </c>
      <c r="G937" s="656"/>
      <c r="H937" s="656">
        <f t="shared" si="93"/>
        <v>50000</v>
      </c>
      <c r="I937" s="656">
        <v>50000</v>
      </c>
      <c r="J937" s="656">
        <f t="shared" si="89"/>
        <v>0</v>
      </c>
      <c r="K937" s="825">
        <f t="shared" si="91"/>
        <v>0</v>
      </c>
      <c r="L937" s="656">
        <f t="shared" si="90"/>
        <v>0</v>
      </c>
      <c r="M937" s="825">
        <f t="shared" si="92"/>
        <v>0</v>
      </c>
    </row>
    <row r="938" spans="1:13" x14ac:dyDescent="0.2">
      <c r="C938" s="380"/>
      <c r="D938" s="185"/>
      <c r="E938" s="185"/>
      <c r="F938" s="494">
        <v>0</v>
      </c>
      <c r="G938" s="652"/>
      <c r="H938" s="652">
        <f t="shared" si="93"/>
        <v>0</v>
      </c>
      <c r="I938" s="652">
        <v>0</v>
      </c>
      <c r="J938" s="652">
        <f t="shared" si="89"/>
        <v>0</v>
      </c>
      <c r="K938" s="934"/>
      <c r="L938" s="652">
        <f t="shared" si="90"/>
        <v>0</v>
      </c>
      <c r="M938" s="934"/>
    </row>
    <row r="939" spans="1:13" x14ac:dyDescent="0.2">
      <c r="C939" s="315" t="s">
        <v>372</v>
      </c>
      <c r="D939" s="197">
        <f>SUM(D940:D946)</f>
        <v>11815300</v>
      </c>
      <c r="E939" s="197"/>
      <c r="F939" s="496">
        <f>SUM(F940:F946)</f>
        <v>475000</v>
      </c>
      <c r="G939" s="613">
        <f>SUM(G940:G946)</f>
        <v>0</v>
      </c>
      <c r="H939" s="613">
        <f t="shared" si="93"/>
        <v>12290300</v>
      </c>
      <c r="I939" s="613">
        <v>12524100</v>
      </c>
      <c r="J939" s="613">
        <f t="shared" si="89"/>
        <v>708800</v>
      </c>
      <c r="K939" s="825">
        <f t="shared" si="91"/>
        <v>5.9990012949311486E-2</v>
      </c>
      <c r="L939" s="613">
        <f t="shared" si="90"/>
        <v>233800</v>
      </c>
      <c r="M939" s="825">
        <f t="shared" si="92"/>
        <v>1.902313206349723E-2</v>
      </c>
    </row>
    <row r="940" spans="1:13" x14ac:dyDescent="0.2">
      <c r="A940" s="459" t="s">
        <v>869</v>
      </c>
      <c r="B940" s="459" t="s">
        <v>873</v>
      </c>
      <c r="C940" s="313" t="s">
        <v>708</v>
      </c>
      <c r="D940" s="198">
        <v>400000</v>
      </c>
      <c r="E940" s="198"/>
      <c r="F940" s="198">
        <v>410000</v>
      </c>
      <c r="G940" s="607"/>
      <c r="H940" s="607">
        <f t="shared" si="93"/>
        <v>810000</v>
      </c>
      <c r="I940" s="607">
        <v>800000</v>
      </c>
      <c r="J940" s="607">
        <f t="shared" si="89"/>
        <v>400000</v>
      </c>
      <c r="K940" s="939">
        <f t="shared" si="91"/>
        <v>1</v>
      </c>
      <c r="L940" s="607">
        <f t="shared" si="90"/>
        <v>-10000</v>
      </c>
      <c r="M940" s="939">
        <f t="shared" si="92"/>
        <v>-1.2345679012345678E-2</v>
      </c>
    </row>
    <row r="941" spans="1:13" x14ac:dyDescent="0.2">
      <c r="A941" s="459" t="s">
        <v>869</v>
      </c>
      <c r="B941" s="459" t="s">
        <v>873</v>
      </c>
      <c r="C941" s="111" t="s">
        <v>373</v>
      </c>
      <c r="D941" s="198">
        <v>2496000</v>
      </c>
      <c r="E941" s="198"/>
      <c r="F941" s="198">
        <v>5000</v>
      </c>
      <c r="G941" s="607"/>
      <c r="H941" s="607">
        <f t="shared" si="93"/>
        <v>2501000</v>
      </c>
      <c r="I941" s="607">
        <v>2537000</v>
      </c>
      <c r="J941" s="607">
        <f t="shared" si="89"/>
        <v>41000</v>
      </c>
      <c r="K941" s="939">
        <f t="shared" si="91"/>
        <v>1.6426282051282052E-2</v>
      </c>
      <c r="L941" s="607">
        <f t="shared" si="90"/>
        <v>36000</v>
      </c>
      <c r="M941" s="939">
        <f t="shared" si="92"/>
        <v>1.4394242303078768E-2</v>
      </c>
    </row>
    <row r="942" spans="1:13" x14ac:dyDescent="0.2">
      <c r="A942" s="459" t="s">
        <v>869</v>
      </c>
      <c r="B942" s="459" t="s">
        <v>873</v>
      </c>
      <c r="C942" s="111" t="s">
        <v>374</v>
      </c>
      <c r="D942" s="198">
        <v>8782200</v>
      </c>
      <c r="E942" s="198"/>
      <c r="F942" s="198">
        <v>60000</v>
      </c>
      <c r="G942" s="607"/>
      <c r="H942" s="607">
        <f t="shared" si="93"/>
        <v>8842200</v>
      </c>
      <c r="I942" s="607">
        <v>9050000</v>
      </c>
      <c r="J942" s="607">
        <f t="shared" si="89"/>
        <v>267800</v>
      </c>
      <c r="K942" s="939">
        <f t="shared" si="91"/>
        <v>3.0493498212293049E-2</v>
      </c>
      <c r="L942" s="607">
        <f t="shared" si="90"/>
        <v>207800</v>
      </c>
      <c r="M942" s="939">
        <f t="shared" si="92"/>
        <v>2.3500938680418901E-2</v>
      </c>
    </row>
    <row r="943" spans="1:13" ht="22.5" x14ac:dyDescent="0.2">
      <c r="A943" s="459" t="s">
        <v>869</v>
      </c>
      <c r="B943" s="459" t="s">
        <v>873</v>
      </c>
      <c r="C943" s="111" t="s">
        <v>375</v>
      </c>
      <c r="D943" s="198">
        <v>70000</v>
      </c>
      <c r="E943" s="198"/>
      <c r="F943" s="198">
        <v>0</v>
      </c>
      <c r="G943" s="607"/>
      <c r="H943" s="607">
        <f t="shared" si="93"/>
        <v>70000</v>
      </c>
      <c r="I943" s="607">
        <v>70000</v>
      </c>
      <c r="J943" s="607">
        <f t="shared" si="89"/>
        <v>0</v>
      </c>
      <c r="K943" s="939">
        <f t="shared" si="91"/>
        <v>0</v>
      </c>
      <c r="L943" s="607">
        <f t="shared" si="90"/>
        <v>0</v>
      </c>
      <c r="M943" s="939">
        <f t="shared" si="92"/>
        <v>0</v>
      </c>
    </row>
    <row r="944" spans="1:13" x14ac:dyDescent="0.2">
      <c r="A944" s="459" t="s">
        <v>869</v>
      </c>
      <c r="B944" s="459" t="s">
        <v>873</v>
      </c>
      <c r="C944" s="111" t="s">
        <v>549</v>
      </c>
      <c r="D944" s="198">
        <f>45000-14000</f>
        <v>31000</v>
      </c>
      <c r="E944" s="198"/>
      <c r="F944" s="198">
        <v>0</v>
      </c>
      <c r="G944" s="607"/>
      <c r="H944" s="607">
        <f t="shared" si="93"/>
        <v>31000</v>
      </c>
      <c r="I944" s="607">
        <v>31000</v>
      </c>
      <c r="J944" s="607">
        <f t="shared" si="89"/>
        <v>0</v>
      </c>
      <c r="K944" s="939">
        <f t="shared" si="91"/>
        <v>0</v>
      </c>
      <c r="L944" s="607">
        <f t="shared" si="90"/>
        <v>0</v>
      </c>
      <c r="M944" s="939">
        <f t="shared" si="92"/>
        <v>0</v>
      </c>
    </row>
    <row r="945" spans="1:13" x14ac:dyDescent="0.2">
      <c r="A945" s="459" t="s">
        <v>869</v>
      </c>
      <c r="B945" s="459" t="s">
        <v>873</v>
      </c>
      <c r="C945" s="116" t="s">
        <v>376</v>
      </c>
      <c r="D945" s="199">
        <v>3000</v>
      </c>
      <c r="E945" s="199"/>
      <c r="F945" s="199">
        <v>0</v>
      </c>
      <c r="G945" s="607"/>
      <c r="H945" s="607">
        <f t="shared" si="93"/>
        <v>3000</v>
      </c>
      <c r="I945" s="607">
        <v>3000</v>
      </c>
      <c r="J945" s="607">
        <f t="shared" si="89"/>
        <v>0</v>
      </c>
      <c r="K945" s="939">
        <f t="shared" si="91"/>
        <v>0</v>
      </c>
      <c r="L945" s="607">
        <f t="shared" si="90"/>
        <v>0</v>
      </c>
      <c r="M945" s="939">
        <f t="shared" si="92"/>
        <v>0</v>
      </c>
    </row>
    <row r="946" spans="1:13" x14ac:dyDescent="0.2">
      <c r="A946" s="459" t="s">
        <v>869</v>
      </c>
      <c r="B946" s="459" t="s">
        <v>873</v>
      </c>
      <c r="C946" s="111" t="s">
        <v>550</v>
      </c>
      <c r="D946" s="198">
        <v>33100</v>
      </c>
      <c r="E946" s="198"/>
      <c r="F946" s="198">
        <v>0</v>
      </c>
      <c r="G946" s="607"/>
      <c r="H946" s="607">
        <f t="shared" si="93"/>
        <v>33100</v>
      </c>
      <c r="I946" s="607">
        <v>33100</v>
      </c>
      <c r="J946" s="607">
        <f t="shared" si="89"/>
        <v>0</v>
      </c>
      <c r="K946" s="939">
        <f t="shared" si="91"/>
        <v>0</v>
      </c>
      <c r="L946" s="607">
        <f t="shared" si="90"/>
        <v>0</v>
      </c>
      <c r="M946" s="939">
        <f t="shared" si="92"/>
        <v>0</v>
      </c>
    </row>
    <row r="947" spans="1:13" s="56" customFormat="1" x14ac:dyDescent="0.2">
      <c r="A947" s="503"/>
      <c r="B947" s="503"/>
      <c r="C947" s="117"/>
      <c r="D947" s="200"/>
      <c r="E947" s="200"/>
      <c r="F947" s="499">
        <v>0</v>
      </c>
      <c r="G947" s="657"/>
      <c r="H947" s="657">
        <f t="shared" si="93"/>
        <v>0</v>
      </c>
      <c r="I947" s="657">
        <v>0</v>
      </c>
      <c r="J947" s="657">
        <f t="shared" si="89"/>
        <v>0</v>
      </c>
      <c r="K947" s="934"/>
      <c r="L947" s="657">
        <f t="shared" si="90"/>
        <v>0</v>
      </c>
      <c r="M947" s="934"/>
    </row>
    <row r="948" spans="1:13" s="56" customFormat="1" x14ac:dyDescent="0.2">
      <c r="A948" s="503"/>
      <c r="B948" s="503"/>
      <c r="C948" s="315" t="s">
        <v>511</v>
      </c>
      <c r="D948" s="197">
        <f>D949+D950+D951+D952+D953</f>
        <v>1368000</v>
      </c>
      <c r="E948" s="496">
        <f>E949+E950+E951+E952+E953</f>
        <v>0</v>
      </c>
      <c r="F948" s="496">
        <f>F949+F950+F951+F952+F953</f>
        <v>0</v>
      </c>
      <c r="G948" s="613">
        <f>G949+G950+G951+G952+G953+G954+G955</f>
        <v>0</v>
      </c>
      <c r="H948" s="613">
        <f t="shared" si="93"/>
        <v>1368000</v>
      </c>
      <c r="I948" s="613">
        <v>2250000</v>
      </c>
      <c r="J948" s="613">
        <f t="shared" si="89"/>
        <v>882000</v>
      </c>
      <c r="K948" s="825">
        <f t="shared" si="91"/>
        <v>0.64473684210526316</v>
      </c>
      <c r="L948" s="613">
        <f t="shared" si="90"/>
        <v>882000</v>
      </c>
      <c r="M948" s="825">
        <f t="shared" si="92"/>
        <v>0.64473684210526316</v>
      </c>
    </row>
    <row r="949" spans="1:13" s="486" customFormat="1" x14ac:dyDescent="0.2">
      <c r="A949" s="504" t="s">
        <v>870</v>
      </c>
      <c r="B949" s="504" t="s">
        <v>873</v>
      </c>
      <c r="C949" s="689" t="s">
        <v>1026</v>
      </c>
      <c r="D949" s="612">
        <v>760000</v>
      </c>
      <c r="E949" s="612"/>
      <c r="F949" s="612">
        <v>0</v>
      </c>
      <c r="G949" s="612"/>
      <c r="H949" s="612">
        <f t="shared" si="93"/>
        <v>760000</v>
      </c>
      <c r="I949" s="612">
        <v>760000</v>
      </c>
      <c r="J949" s="612">
        <f t="shared" si="89"/>
        <v>0</v>
      </c>
      <c r="K949" s="880">
        <f t="shared" si="91"/>
        <v>0</v>
      </c>
      <c r="L949" s="612">
        <f t="shared" si="90"/>
        <v>0</v>
      </c>
      <c r="M949" s="880">
        <f t="shared" si="92"/>
        <v>0</v>
      </c>
    </row>
    <row r="950" spans="1:13" x14ac:dyDescent="0.2">
      <c r="A950" s="504" t="s">
        <v>869</v>
      </c>
      <c r="B950" s="504" t="s">
        <v>873</v>
      </c>
      <c r="C950" s="689" t="s">
        <v>1027</v>
      </c>
      <c r="D950" s="612">
        <v>40000</v>
      </c>
      <c r="E950" s="612"/>
      <c r="F950" s="612">
        <v>16000</v>
      </c>
      <c r="G950" s="612">
        <v>16000</v>
      </c>
      <c r="H950" s="612">
        <f t="shared" si="93"/>
        <v>72000</v>
      </c>
      <c r="I950" s="612">
        <v>44000</v>
      </c>
      <c r="J950" s="612">
        <f t="shared" si="89"/>
        <v>4000</v>
      </c>
      <c r="K950" s="880">
        <f t="shared" si="91"/>
        <v>0.1</v>
      </c>
      <c r="L950" s="612">
        <f t="shared" si="90"/>
        <v>-28000</v>
      </c>
      <c r="M950" s="880">
        <f t="shared" si="92"/>
        <v>-0.3888888888888889</v>
      </c>
    </row>
    <row r="951" spans="1:13" s="486" customFormat="1" x14ac:dyDescent="0.2">
      <c r="A951" s="504" t="s">
        <v>870</v>
      </c>
      <c r="B951" s="504" t="s">
        <v>873</v>
      </c>
      <c r="C951" s="689" t="s">
        <v>1100</v>
      </c>
      <c r="D951" s="612">
        <v>400000</v>
      </c>
      <c r="E951" s="612"/>
      <c r="F951" s="612">
        <v>0</v>
      </c>
      <c r="G951" s="612"/>
      <c r="H951" s="612">
        <f t="shared" si="93"/>
        <v>400000</v>
      </c>
      <c r="I951" s="612">
        <v>400000</v>
      </c>
      <c r="J951" s="612">
        <f t="shared" si="89"/>
        <v>0</v>
      </c>
      <c r="K951" s="880">
        <f t="shared" si="91"/>
        <v>0</v>
      </c>
      <c r="L951" s="612">
        <f t="shared" si="90"/>
        <v>0</v>
      </c>
      <c r="M951" s="880">
        <f t="shared" si="92"/>
        <v>0</v>
      </c>
    </row>
    <row r="952" spans="1:13" s="486" customFormat="1" x14ac:dyDescent="0.2">
      <c r="A952" s="504" t="s">
        <v>869</v>
      </c>
      <c r="B952" s="504" t="s">
        <v>873</v>
      </c>
      <c r="C952" s="737" t="s">
        <v>1101</v>
      </c>
      <c r="D952" s="612">
        <v>150000</v>
      </c>
      <c r="E952" s="612">
        <v>0</v>
      </c>
      <c r="F952" s="612">
        <v>-16000</v>
      </c>
      <c r="G952" s="612"/>
      <c r="H952" s="612">
        <v>134000</v>
      </c>
      <c r="I952" s="612">
        <v>160000</v>
      </c>
      <c r="J952" s="612">
        <f t="shared" si="89"/>
        <v>10000</v>
      </c>
      <c r="K952" s="880">
        <f t="shared" si="91"/>
        <v>6.6666666666666666E-2</v>
      </c>
      <c r="L952" s="612">
        <f t="shared" si="90"/>
        <v>26000</v>
      </c>
      <c r="M952" s="880">
        <f t="shared" si="92"/>
        <v>0.19402985074626866</v>
      </c>
    </row>
    <row r="953" spans="1:13" s="486" customFormat="1" x14ac:dyDescent="0.2">
      <c r="A953" s="504" t="s">
        <v>869</v>
      </c>
      <c r="B953" s="504" t="s">
        <v>873</v>
      </c>
      <c r="C953" s="737" t="s">
        <v>512</v>
      </c>
      <c r="D953" s="607">
        <v>18000</v>
      </c>
      <c r="E953" s="607"/>
      <c r="F953" s="607">
        <v>0</v>
      </c>
      <c r="G953" s="607">
        <v>-16000</v>
      </c>
      <c r="H953" s="607">
        <f t="shared" si="93"/>
        <v>2000</v>
      </c>
      <c r="I953" s="607">
        <v>4000</v>
      </c>
      <c r="J953" s="607">
        <f t="shared" ref="J953:J1015" si="94">I953-D953</f>
        <v>-14000</v>
      </c>
      <c r="K953" s="939">
        <f t="shared" ref="K953:K1014" si="95">J953/D953</f>
        <v>-0.77777777777777779</v>
      </c>
      <c r="L953" s="607">
        <f t="shared" ref="L953:L1015" si="96">I953-H953</f>
        <v>2000</v>
      </c>
      <c r="M953" s="939">
        <f t="shared" ref="M953:M1014" si="97">L953/H953</f>
        <v>1</v>
      </c>
    </row>
    <row r="954" spans="1:13" x14ac:dyDescent="0.2">
      <c r="A954" s="459" t="s">
        <v>870</v>
      </c>
      <c r="B954" s="459" t="s">
        <v>873</v>
      </c>
      <c r="C954" s="111" t="s">
        <v>1023</v>
      </c>
      <c r="D954" s="490"/>
      <c r="E954" s="490"/>
      <c r="F954" s="490"/>
      <c r="G954" s="612"/>
      <c r="H954" s="612">
        <f t="shared" si="93"/>
        <v>0</v>
      </c>
      <c r="I954" s="612">
        <v>532000</v>
      </c>
      <c r="J954" s="612">
        <f t="shared" si="94"/>
        <v>532000</v>
      </c>
      <c r="K954" s="880"/>
      <c r="L954" s="612">
        <f t="shared" si="96"/>
        <v>532000</v>
      </c>
      <c r="M954" s="880"/>
    </row>
    <row r="955" spans="1:13" x14ac:dyDescent="0.2">
      <c r="A955" s="459" t="s">
        <v>877</v>
      </c>
      <c r="B955" s="459" t="s">
        <v>873</v>
      </c>
      <c r="C955" s="737" t="s">
        <v>1102</v>
      </c>
      <c r="D955" s="490"/>
      <c r="E955" s="490"/>
      <c r="F955" s="490"/>
      <c r="G955" s="612"/>
      <c r="H955" s="612">
        <f t="shared" si="93"/>
        <v>0</v>
      </c>
      <c r="I955" s="612">
        <v>350000</v>
      </c>
      <c r="J955" s="612">
        <f t="shared" si="94"/>
        <v>350000</v>
      </c>
      <c r="K955" s="880"/>
      <c r="L955" s="612">
        <f t="shared" si="96"/>
        <v>350000</v>
      </c>
      <c r="M955" s="880"/>
    </row>
    <row r="956" spans="1:13" x14ac:dyDescent="0.2">
      <c r="C956" s="117"/>
      <c r="D956" s="200"/>
      <c r="E956" s="200"/>
      <c r="F956" s="499">
        <v>0</v>
      </c>
      <c r="G956" s="657"/>
      <c r="H956" s="657">
        <f t="shared" si="93"/>
        <v>0</v>
      </c>
      <c r="I956" s="657">
        <v>0</v>
      </c>
      <c r="J956" s="657">
        <f t="shared" si="94"/>
        <v>0</v>
      </c>
      <c r="K956" s="934"/>
      <c r="L956" s="657">
        <f t="shared" si="96"/>
        <v>0</v>
      </c>
      <c r="M956" s="934"/>
    </row>
    <row r="957" spans="1:13" s="486" customFormat="1" ht="22.5" x14ac:dyDescent="0.2">
      <c r="A957" s="503"/>
      <c r="B957" s="503"/>
      <c r="C957" s="862" t="s">
        <v>1082</v>
      </c>
      <c r="D957" s="198"/>
      <c r="E957" s="198"/>
      <c r="F957" s="198">
        <v>0</v>
      </c>
      <c r="G957" s="198"/>
      <c r="H957" s="198">
        <f t="shared" si="93"/>
        <v>0</v>
      </c>
      <c r="I957" s="198">
        <v>0</v>
      </c>
      <c r="J957" s="198">
        <f t="shared" si="94"/>
        <v>0</v>
      </c>
      <c r="K957" s="915"/>
      <c r="L957" s="198">
        <f t="shared" si="96"/>
        <v>0</v>
      </c>
      <c r="M957" s="915"/>
    </row>
    <row r="958" spans="1:13" s="486" customFormat="1" x14ac:dyDescent="0.2">
      <c r="A958" s="503"/>
      <c r="B958" s="503"/>
      <c r="C958" s="117"/>
      <c r="D958" s="200"/>
      <c r="E958" s="200"/>
      <c r="F958" s="499">
        <v>0</v>
      </c>
      <c r="G958" s="499"/>
      <c r="H958" s="499">
        <f t="shared" si="93"/>
        <v>0</v>
      </c>
      <c r="I958" s="499">
        <v>0</v>
      </c>
      <c r="J958" s="499">
        <f t="shared" si="94"/>
        <v>0</v>
      </c>
      <c r="K958" s="948"/>
      <c r="L958" s="499">
        <f t="shared" si="96"/>
        <v>0</v>
      </c>
      <c r="M958" s="948"/>
    </row>
    <row r="959" spans="1:13" s="486" customFormat="1" x14ac:dyDescent="0.2">
      <c r="A959" s="459" t="s">
        <v>864</v>
      </c>
      <c r="B959" s="459" t="s">
        <v>873</v>
      </c>
      <c r="C959" s="681" t="s">
        <v>1060</v>
      </c>
      <c r="D959" s="499"/>
      <c r="E959" s="499"/>
      <c r="F959" s="499"/>
      <c r="G959" s="499"/>
      <c r="H959" s="499">
        <f t="shared" ref="H959:H1021" si="98">D959+E959+F959+G959</f>
        <v>0</v>
      </c>
      <c r="I959" s="178">
        <v>440000</v>
      </c>
      <c r="J959" s="178">
        <f t="shared" si="94"/>
        <v>440000</v>
      </c>
      <c r="K959" s="953"/>
      <c r="L959" s="178">
        <f t="shared" si="96"/>
        <v>440000</v>
      </c>
      <c r="M959" s="948"/>
    </row>
    <row r="960" spans="1:13" x14ac:dyDescent="0.2">
      <c r="C960" s="117"/>
      <c r="D960" s="499"/>
      <c r="E960" s="499"/>
      <c r="F960" s="499"/>
      <c r="G960" s="499"/>
      <c r="H960" s="499">
        <f t="shared" si="98"/>
        <v>0</v>
      </c>
      <c r="I960" s="499">
        <v>0</v>
      </c>
      <c r="J960" s="499">
        <f t="shared" si="94"/>
        <v>0</v>
      </c>
      <c r="K960" s="948"/>
      <c r="L960" s="499">
        <f t="shared" si="96"/>
        <v>0</v>
      </c>
      <c r="M960" s="948"/>
    </row>
    <row r="961" spans="1:13" x14ac:dyDescent="0.2">
      <c r="A961" s="459" t="s">
        <v>869</v>
      </c>
      <c r="B961" s="459" t="s">
        <v>873</v>
      </c>
      <c r="C961" s="316" t="s">
        <v>551</v>
      </c>
      <c r="D961" s="202">
        <v>132000</v>
      </c>
      <c r="E961" s="202"/>
      <c r="F961" s="493">
        <v>0</v>
      </c>
      <c r="G961" s="493"/>
      <c r="H961" s="493">
        <f t="shared" si="98"/>
        <v>132000</v>
      </c>
      <c r="I961" s="493">
        <v>152000</v>
      </c>
      <c r="J961" s="493">
        <f t="shared" si="94"/>
        <v>20000</v>
      </c>
      <c r="K961" s="868">
        <f t="shared" si="95"/>
        <v>0.15151515151515152</v>
      </c>
      <c r="L961" s="493">
        <f t="shared" si="96"/>
        <v>20000</v>
      </c>
      <c r="M961" s="868">
        <f t="shared" si="97"/>
        <v>0.15151515151515152</v>
      </c>
    </row>
    <row r="962" spans="1:13" x14ac:dyDescent="0.2">
      <c r="C962" s="308" t="s">
        <v>119</v>
      </c>
      <c r="D962" s="489">
        <v>71700</v>
      </c>
      <c r="E962" s="145"/>
      <c r="F962" s="489">
        <v>0</v>
      </c>
      <c r="G962" s="489"/>
      <c r="H962" s="489">
        <f t="shared" si="98"/>
        <v>71700</v>
      </c>
      <c r="I962" s="489">
        <v>15000</v>
      </c>
      <c r="J962" s="489">
        <f t="shared" si="94"/>
        <v>-56700</v>
      </c>
      <c r="K962" s="869">
        <f t="shared" si="95"/>
        <v>-0.79079497907949792</v>
      </c>
      <c r="L962" s="489">
        <f t="shared" si="96"/>
        <v>-56700</v>
      </c>
      <c r="M962" s="869">
        <f t="shared" si="97"/>
        <v>-0.79079497907949792</v>
      </c>
    </row>
    <row r="963" spans="1:13" x14ac:dyDescent="0.2">
      <c r="C963" s="98" t="s">
        <v>525</v>
      </c>
      <c r="D963" s="145">
        <v>27000</v>
      </c>
      <c r="E963" s="145"/>
      <c r="F963" s="489">
        <v>0</v>
      </c>
      <c r="G963" s="489"/>
      <c r="H963" s="489">
        <f t="shared" si="98"/>
        <v>27000</v>
      </c>
      <c r="I963" s="489">
        <v>47000</v>
      </c>
      <c r="J963" s="489">
        <f t="shared" si="94"/>
        <v>20000</v>
      </c>
      <c r="K963" s="869">
        <f t="shared" si="95"/>
        <v>0.7407407407407407</v>
      </c>
      <c r="L963" s="489">
        <f t="shared" si="96"/>
        <v>20000</v>
      </c>
      <c r="M963" s="869">
        <f t="shared" si="97"/>
        <v>0.7407407407407407</v>
      </c>
    </row>
    <row r="964" spans="1:13" x14ac:dyDescent="0.2">
      <c r="C964" s="308"/>
      <c r="D964" s="145"/>
      <c r="E964" s="145"/>
      <c r="F964" s="489">
        <v>0</v>
      </c>
      <c r="G964" s="489"/>
      <c r="H964" s="489">
        <f t="shared" si="98"/>
        <v>0</v>
      </c>
      <c r="I964" s="489">
        <v>0</v>
      </c>
      <c r="J964" s="489">
        <f t="shared" si="94"/>
        <v>0</v>
      </c>
      <c r="K964" s="869"/>
      <c r="L964" s="489">
        <f t="shared" si="96"/>
        <v>0</v>
      </c>
      <c r="M964" s="869"/>
    </row>
    <row r="965" spans="1:13" x14ac:dyDescent="0.2">
      <c r="A965" s="459" t="s">
        <v>869</v>
      </c>
      <c r="B965" s="459" t="s">
        <v>873</v>
      </c>
      <c r="C965" s="104" t="s">
        <v>252</v>
      </c>
      <c r="D965" s="172">
        <v>3209404</v>
      </c>
      <c r="E965" s="172"/>
      <c r="F965" s="172">
        <v>746000</v>
      </c>
      <c r="G965" s="172"/>
      <c r="H965" s="172">
        <f t="shared" si="98"/>
        <v>3955404</v>
      </c>
      <c r="I965" s="172">
        <v>4153000</v>
      </c>
      <c r="J965" s="172">
        <f t="shared" si="94"/>
        <v>943596</v>
      </c>
      <c r="K965" s="524">
        <f t="shared" si="95"/>
        <v>0.29400972890916816</v>
      </c>
      <c r="L965" s="172">
        <f t="shared" si="96"/>
        <v>197596</v>
      </c>
      <c r="M965" s="524">
        <f t="shared" si="97"/>
        <v>4.9955958986743203E-2</v>
      </c>
    </row>
    <row r="966" spans="1:13" x14ac:dyDescent="0.2">
      <c r="C966" s="308" t="s">
        <v>767</v>
      </c>
      <c r="D966" s="196">
        <v>735000</v>
      </c>
      <c r="E966" s="196"/>
      <c r="F966" s="495">
        <v>0</v>
      </c>
      <c r="G966" s="495"/>
      <c r="H966" s="495">
        <f t="shared" si="98"/>
        <v>735000</v>
      </c>
      <c r="I966" s="495">
        <v>735000</v>
      </c>
      <c r="J966" s="495">
        <f t="shared" si="94"/>
        <v>0</v>
      </c>
      <c r="K966" s="888">
        <f t="shared" si="95"/>
        <v>0</v>
      </c>
      <c r="L966" s="495">
        <f t="shared" si="96"/>
        <v>0</v>
      </c>
      <c r="M966" s="888">
        <f t="shared" si="97"/>
        <v>0</v>
      </c>
    </row>
    <row r="967" spans="1:13" s="56" customFormat="1" x14ac:dyDescent="0.2">
      <c r="A967" s="503"/>
      <c r="B967" s="503"/>
      <c r="C967" s="297" t="s">
        <v>768</v>
      </c>
      <c r="D967" s="196">
        <v>600000</v>
      </c>
      <c r="E967" s="196"/>
      <c r="F967" s="495">
        <v>362000</v>
      </c>
      <c r="G967" s="495"/>
      <c r="H967" s="495">
        <f t="shared" si="98"/>
        <v>962000</v>
      </c>
      <c r="I967" s="495">
        <v>1078000</v>
      </c>
      <c r="J967" s="495">
        <f t="shared" si="94"/>
        <v>478000</v>
      </c>
      <c r="K967" s="888">
        <f t="shared" si="95"/>
        <v>0.79666666666666663</v>
      </c>
      <c r="L967" s="495">
        <f t="shared" si="96"/>
        <v>116000</v>
      </c>
      <c r="M967" s="888">
        <f t="shared" si="97"/>
        <v>0.12058212058212059</v>
      </c>
    </row>
    <row r="968" spans="1:13" s="56" customFormat="1" x14ac:dyDescent="0.2">
      <c r="A968" s="503"/>
      <c r="B968" s="503"/>
      <c r="C968" s="297"/>
      <c r="D968" s="172"/>
      <c r="E968" s="172"/>
      <c r="F968" s="172">
        <v>0</v>
      </c>
      <c r="G968" s="172"/>
      <c r="H968" s="172">
        <f t="shared" si="98"/>
        <v>0</v>
      </c>
      <c r="I968" s="172">
        <v>0</v>
      </c>
      <c r="J968" s="172">
        <f t="shared" si="94"/>
        <v>0</v>
      </c>
      <c r="K968" s="524"/>
      <c r="L968" s="172">
        <f t="shared" si="96"/>
        <v>0</v>
      </c>
      <c r="M968" s="524"/>
    </row>
    <row r="969" spans="1:13" x14ac:dyDescent="0.2">
      <c r="C969" s="297"/>
      <c r="D969" s="172"/>
      <c r="E969" s="172"/>
      <c r="F969" s="172">
        <v>0</v>
      </c>
      <c r="G969" s="172"/>
      <c r="H969" s="172">
        <f t="shared" si="98"/>
        <v>0</v>
      </c>
      <c r="I969" s="172">
        <v>0</v>
      </c>
      <c r="J969" s="172">
        <f t="shared" si="94"/>
        <v>0</v>
      </c>
      <c r="K969" s="524"/>
      <c r="L969" s="172">
        <f t="shared" si="96"/>
        <v>0</v>
      </c>
      <c r="M969" s="524"/>
    </row>
    <row r="970" spans="1:13" ht="15.75" x14ac:dyDescent="0.2">
      <c r="C970" s="289" t="s">
        <v>107</v>
      </c>
      <c r="D970" s="176"/>
      <c r="E970" s="176"/>
      <c r="F970" s="176">
        <v>0</v>
      </c>
      <c r="G970" s="176"/>
      <c r="H970" s="176">
        <f t="shared" si="98"/>
        <v>0</v>
      </c>
      <c r="I970" s="176">
        <v>0</v>
      </c>
      <c r="J970" s="176">
        <f t="shared" si="94"/>
        <v>0</v>
      </c>
      <c r="K970" s="906"/>
      <c r="L970" s="176">
        <f t="shared" si="96"/>
        <v>0</v>
      </c>
      <c r="M970" s="906"/>
    </row>
    <row r="971" spans="1:13" x14ac:dyDescent="0.2">
      <c r="C971" s="104"/>
      <c r="D971" s="172"/>
      <c r="E971" s="172"/>
      <c r="F971" s="172">
        <v>0</v>
      </c>
      <c r="G971" s="172"/>
      <c r="H971" s="172">
        <f t="shared" si="98"/>
        <v>0</v>
      </c>
      <c r="I971" s="172">
        <v>0</v>
      </c>
      <c r="J971" s="172">
        <f t="shared" si="94"/>
        <v>0</v>
      </c>
      <c r="K971" s="524"/>
      <c r="L971" s="172">
        <f t="shared" si="96"/>
        <v>0</v>
      </c>
      <c r="M971" s="524"/>
    </row>
    <row r="972" spans="1:13" x14ac:dyDescent="0.2">
      <c r="C972" s="100" t="s">
        <v>193</v>
      </c>
      <c r="D972" s="170">
        <f>SUM(D980,D999)</f>
        <v>94755819</v>
      </c>
      <c r="E972" s="170"/>
      <c r="F972" s="488">
        <f>SUM(F980,F999)</f>
        <v>3078231</v>
      </c>
      <c r="G972" s="570">
        <f>SUM(G980,G999)</f>
        <v>-5407</v>
      </c>
      <c r="H972" s="488">
        <f t="shared" si="98"/>
        <v>97828643</v>
      </c>
      <c r="I972" s="488">
        <v>112946750</v>
      </c>
      <c r="J972" s="488">
        <f t="shared" si="94"/>
        <v>18190931</v>
      </c>
      <c r="K972" s="865">
        <f t="shared" si="95"/>
        <v>0.19197692755945681</v>
      </c>
      <c r="L972" s="488">
        <f t="shared" si="96"/>
        <v>15118107</v>
      </c>
      <c r="M972" s="865">
        <f t="shared" si="97"/>
        <v>0.15453661153206427</v>
      </c>
    </row>
    <row r="973" spans="1:13" x14ac:dyDescent="0.2">
      <c r="C973" s="101" t="s">
        <v>479</v>
      </c>
      <c r="D973" s="182">
        <v>2400000</v>
      </c>
      <c r="E973" s="182"/>
      <c r="F973" s="491"/>
      <c r="G973" s="571"/>
      <c r="H973" s="491">
        <f t="shared" si="98"/>
        <v>2400000</v>
      </c>
      <c r="I973" s="491">
        <v>2600000</v>
      </c>
      <c r="J973" s="491">
        <f t="shared" si="94"/>
        <v>200000</v>
      </c>
      <c r="K973" s="866">
        <f t="shared" si="95"/>
        <v>8.3333333333333329E-2</v>
      </c>
      <c r="L973" s="491">
        <f t="shared" si="96"/>
        <v>200000</v>
      </c>
      <c r="M973" s="866">
        <f t="shared" si="97"/>
        <v>8.3333333333333329E-2</v>
      </c>
    </row>
    <row r="974" spans="1:13" x14ac:dyDescent="0.2">
      <c r="C974" s="107" t="s">
        <v>116</v>
      </c>
      <c r="D974" s="183">
        <f>SUM(D975:D977)</f>
        <v>94755819</v>
      </c>
      <c r="E974" s="183"/>
      <c r="F974" s="183">
        <f>SUM(F975:F977)</f>
        <v>3078231</v>
      </c>
      <c r="G974" s="570">
        <f>SUM(G975:G977)</f>
        <v>-5407</v>
      </c>
      <c r="H974" s="183">
        <f t="shared" si="98"/>
        <v>97828643</v>
      </c>
      <c r="I974" s="183">
        <v>112946750</v>
      </c>
      <c r="J974" s="183">
        <f t="shared" si="94"/>
        <v>18190931</v>
      </c>
      <c r="K974" s="528">
        <f t="shared" si="95"/>
        <v>0.19197692755945681</v>
      </c>
      <c r="L974" s="183">
        <f t="shared" si="96"/>
        <v>15118107</v>
      </c>
      <c r="M974" s="528">
        <f t="shared" si="97"/>
        <v>0.15453661153206427</v>
      </c>
    </row>
    <row r="975" spans="1:13" x14ac:dyDescent="0.2">
      <c r="C975" s="102" t="s">
        <v>117</v>
      </c>
      <c r="D975" s="182">
        <f>'2.2 OMATULUD'!B379</f>
        <v>1339290</v>
      </c>
      <c r="E975" s="182"/>
      <c r="F975" s="491">
        <v>-5635</v>
      </c>
      <c r="G975" s="571"/>
      <c r="H975" s="491">
        <f t="shared" si="98"/>
        <v>1333655</v>
      </c>
      <c r="I975" s="491">
        <v>1367700</v>
      </c>
      <c r="J975" s="491">
        <f t="shared" si="94"/>
        <v>28410</v>
      </c>
      <c r="K975" s="866">
        <f t="shared" si="95"/>
        <v>2.1212732119257217E-2</v>
      </c>
      <c r="L975" s="491">
        <f t="shared" si="96"/>
        <v>34045</v>
      </c>
      <c r="M975" s="866">
        <f t="shared" si="97"/>
        <v>2.5527591468558212E-2</v>
      </c>
    </row>
    <row r="976" spans="1:13" x14ac:dyDescent="0.2">
      <c r="C976" s="95" t="s">
        <v>105</v>
      </c>
      <c r="D976" s="182">
        <f>696053+4000000</f>
        <v>4696053</v>
      </c>
      <c r="E976" s="182"/>
      <c r="F976" s="491">
        <v>-1891861</v>
      </c>
      <c r="G976" s="571"/>
      <c r="H976" s="491">
        <f t="shared" si="98"/>
        <v>2804192</v>
      </c>
      <c r="I976" s="491">
        <v>2152276</v>
      </c>
      <c r="J976" s="491">
        <f t="shared" si="94"/>
        <v>-2543777</v>
      </c>
      <c r="K976" s="866">
        <f t="shared" si="95"/>
        <v>-0.54168404828480432</v>
      </c>
      <c r="L976" s="491">
        <f t="shared" si="96"/>
        <v>-651916</v>
      </c>
      <c r="M976" s="866">
        <f t="shared" si="97"/>
        <v>-0.23247908845043422</v>
      </c>
    </row>
    <row r="977" spans="1:13" s="6" customFormat="1" x14ac:dyDescent="0.2">
      <c r="A977" s="503"/>
      <c r="B977" s="503"/>
      <c r="C977" s="95" t="s">
        <v>118</v>
      </c>
      <c r="D977" s="182">
        <f>D972-D975-D976</f>
        <v>88720476</v>
      </c>
      <c r="E977" s="182"/>
      <c r="F977" s="491">
        <f>F972-F975-F976</f>
        <v>4975727</v>
      </c>
      <c r="G977" s="571">
        <f>G972-G975-G976</f>
        <v>-5407</v>
      </c>
      <c r="H977" s="491">
        <f t="shared" si="98"/>
        <v>93690796</v>
      </c>
      <c r="I977" s="491">
        <v>109426774</v>
      </c>
      <c r="J977" s="491">
        <f t="shared" si="94"/>
        <v>20706298</v>
      </c>
      <c r="K977" s="866">
        <f t="shared" si="95"/>
        <v>0.23338803998301361</v>
      </c>
      <c r="L977" s="491">
        <f t="shared" si="96"/>
        <v>15735978</v>
      </c>
      <c r="M977" s="866">
        <f t="shared" si="97"/>
        <v>0.16795649809614169</v>
      </c>
    </row>
    <row r="978" spans="1:13" x14ac:dyDescent="0.2">
      <c r="A978" s="459"/>
      <c r="B978" s="459"/>
      <c r="C978" s="473" t="s">
        <v>909</v>
      </c>
      <c r="D978" s="474">
        <f>D1002+D1028+D1033+D1038+D1043+D1048+D1023</f>
        <v>1280920.0713751868</v>
      </c>
      <c r="E978" s="474"/>
      <c r="F978" s="474">
        <f>F1002+F1028+F1033+F1038+F1043+F1048+F1023+F1053</f>
        <v>54758</v>
      </c>
      <c r="G978" s="572">
        <f>G1002+G1028+G1033+G1038+G1043+G1048+G1023+G1053</f>
        <v>-4041</v>
      </c>
      <c r="H978" s="474">
        <f t="shared" si="98"/>
        <v>1331637.0713751868</v>
      </c>
      <c r="I978" s="474">
        <v>1378595</v>
      </c>
      <c r="J978" s="474">
        <f t="shared" si="94"/>
        <v>97674.928624813212</v>
      </c>
      <c r="K978" s="867">
        <f t="shared" si="95"/>
        <v>7.6253726370256722E-2</v>
      </c>
      <c r="L978" s="474">
        <f t="shared" si="96"/>
        <v>46957.928624813212</v>
      </c>
      <c r="M978" s="867">
        <f t="shared" si="97"/>
        <v>3.5263308324932394E-2</v>
      </c>
    </row>
    <row r="979" spans="1:13" x14ac:dyDescent="0.2">
      <c r="C979" s="390"/>
      <c r="D979" s="182"/>
      <c r="E979" s="182"/>
      <c r="F979" s="491">
        <v>0</v>
      </c>
      <c r="G979" s="571"/>
      <c r="H979" s="491">
        <f t="shared" si="98"/>
        <v>0</v>
      </c>
      <c r="I979" s="491">
        <v>0</v>
      </c>
      <c r="J979" s="491">
        <f t="shared" si="94"/>
        <v>0</v>
      </c>
      <c r="K979" s="866"/>
      <c r="L979" s="491">
        <f t="shared" si="96"/>
        <v>0</v>
      </c>
      <c r="M979" s="866"/>
    </row>
    <row r="980" spans="1:13" ht="15" x14ac:dyDescent="0.2">
      <c r="A980" s="459" t="s">
        <v>874</v>
      </c>
      <c r="B980" s="459" t="s">
        <v>875</v>
      </c>
      <c r="C980" s="99" t="s">
        <v>377</v>
      </c>
      <c r="D980" s="169">
        <f>SUM(D981,D990,D997)</f>
        <v>90950387</v>
      </c>
      <c r="E980" s="169"/>
      <c r="F980" s="169">
        <f>SUM(F981,F990,F997)</f>
        <v>2846000</v>
      </c>
      <c r="G980" s="644"/>
      <c r="H980" s="169">
        <f t="shared" si="98"/>
        <v>93796387</v>
      </c>
      <c r="I980" s="169">
        <v>109446997</v>
      </c>
      <c r="J980" s="169">
        <f t="shared" si="94"/>
        <v>18496610</v>
      </c>
      <c r="K980" s="921">
        <f t="shared" si="95"/>
        <v>0.2033703276050931</v>
      </c>
      <c r="L980" s="169">
        <f t="shared" si="96"/>
        <v>15650610</v>
      </c>
      <c r="M980" s="921">
        <f t="shared" si="97"/>
        <v>0.1668572799078071</v>
      </c>
    </row>
    <row r="981" spans="1:13" x14ac:dyDescent="0.2">
      <c r="C981" s="292" t="s">
        <v>378</v>
      </c>
      <c r="D981" s="118">
        <f>SUM(D983,D988)</f>
        <v>87297700</v>
      </c>
      <c r="E981" s="118"/>
      <c r="F981" s="477">
        <f>SUM(F983,F988)</f>
        <v>1191000</v>
      </c>
      <c r="G981" s="566"/>
      <c r="H981" s="477">
        <f t="shared" si="98"/>
        <v>88488700</v>
      </c>
      <c r="I981" s="477">
        <v>105526610</v>
      </c>
      <c r="J981" s="477">
        <f t="shared" si="94"/>
        <v>18228910</v>
      </c>
      <c r="K981" s="909">
        <f t="shared" si="95"/>
        <v>0.2088131760630578</v>
      </c>
      <c r="L981" s="477">
        <f t="shared" si="96"/>
        <v>17037910</v>
      </c>
      <c r="M981" s="909">
        <f t="shared" si="97"/>
        <v>0.19254334169221607</v>
      </c>
    </row>
    <row r="982" spans="1:13" s="486" customFormat="1" x14ac:dyDescent="0.2">
      <c r="A982" s="503"/>
      <c r="B982" s="503"/>
      <c r="C982" s="105" t="s">
        <v>196</v>
      </c>
      <c r="D982" s="118"/>
      <c r="E982" s="118"/>
      <c r="F982" s="477"/>
      <c r="G982" s="566"/>
      <c r="H982" s="477">
        <f t="shared" si="98"/>
        <v>0</v>
      </c>
      <c r="I982" s="477">
        <v>0</v>
      </c>
      <c r="J982" s="477">
        <f t="shared" si="94"/>
        <v>0</v>
      </c>
      <c r="K982" s="909"/>
      <c r="L982" s="477">
        <f t="shared" si="96"/>
        <v>0</v>
      </c>
      <c r="M982" s="909"/>
    </row>
    <row r="983" spans="1:13" s="56" customFormat="1" x14ac:dyDescent="0.2">
      <c r="A983" s="503"/>
      <c r="B983" s="503"/>
      <c r="C983" s="106" t="s">
        <v>379</v>
      </c>
      <c r="D983" s="194">
        <v>86000000</v>
      </c>
      <c r="E983" s="194"/>
      <c r="F983" s="194">
        <v>1191000</v>
      </c>
      <c r="G983" s="194"/>
      <c r="H983" s="194">
        <f t="shared" si="98"/>
        <v>87191000</v>
      </c>
      <c r="I983" s="194">
        <v>104198500</v>
      </c>
      <c r="J983" s="194">
        <f t="shared" si="94"/>
        <v>18198500</v>
      </c>
      <c r="K983" s="887">
        <f t="shared" si="95"/>
        <v>0.21161046511627907</v>
      </c>
      <c r="L983" s="194">
        <f t="shared" si="96"/>
        <v>17007500</v>
      </c>
      <c r="M983" s="887">
        <f t="shared" si="97"/>
        <v>0.19506026998199355</v>
      </c>
    </row>
    <row r="984" spans="1:13" s="486" customFormat="1" x14ac:dyDescent="0.2">
      <c r="A984" s="503"/>
      <c r="B984" s="503"/>
      <c r="C984" s="106"/>
      <c r="D984" s="194"/>
      <c r="E984" s="194"/>
      <c r="F984" s="194">
        <v>0</v>
      </c>
      <c r="G984" s="194"/>
      <c r="H984" s="194">
        <f t="shared" si="98"/>
        <v>0</v>
      </c>
      <c r="I984" s="194">
        <v>0</v>
      </c>
      <c r="J984" s="194">
        <f t="shared" si="94"/>
        <v>0</v>
      </c>
      <c r="K984" s="887"/>
      <c r="L984" s="194">
        <f t="shared" si="96"/>
        <v>0</v>
      </c>
      <c r="M984" s="887"/>
    </row>
    <row r="985" spans="1:13" s="6" customFormat="1" x14ac:dyDescent="0.2">
      <c r="A985" s="503"/>
      <c r="B985" s="503"/>
      <c r="C985" s="299" t="s">
        <v>329</v>
      </c>
      <c r="D985" s="495">
        <v>4000000</v>
      </c>
      <c r="E985" s="495"/>
      <c r="F985" s="495">
        <v>-2000000</v>
      </c>
      <c r="G985" s="568"/>
      <c r="H985" s="495">
        <f t="shared" si="98"/>
        <v>2000000</v>
      </c>
      <c r="I985" s="495">
        <v>2000000</v>
      </c>
      <c r="J985" s="495">
        <f t="shared" si="94"/>
        <v>-2000000</v>
      </c>
      <c r="K985" s="888">
        <f t="shared" si="95"/>
        <v>-0.5</v>
      </c>
      <c r="L985" s="495">
        <f t="shared" si="96"/>
        <v>0</v>
      </c>
      <c r="M985" s="888">
        <f t="shared" si="97"/>
        <v>0</v>
      </c>
    </row>
    <row r="986" spans="1:13" x14ac:dyDescent="0.2">
      <c r="A986" s="459"/>
      <c r="B986" s="459"/>
      <c r="C986" s="254"/>
      <c r="D986" s="180"/>
      <c r="E986" s="180"/>
      <c r="F986" s="180">
        <v>0</v>
      </c>
      <c r="G986" s="614"/>
      <c r="H986" s="180">
        <f t="shared" si="98"/>
        <v>0</v>
      </c>
      <c r="I986" s="180">
        <v>0</v>
      </c>
      <c r="J986" s="180">
        <f t="shared" si="94"/>
        <v>0</v>
      </c>
      <c r="K986" s="911"/>
      <c r="L986" s="180">
        <f t="shared" si="96"/>
        <v>0</v>
      </c>
      <c r="M986" s="911"/>
    </row>
    <row r="987" spans="1:13" x14ac:dyDescent="0.2">
      <c r="C987" s="105" t="s">
        <v>196</v>
      </c>
      <c r="D987" s="118"/>
      <c r="E987" s="118"/>
      <c r="F987" s="477">
        <v>0</v>
      </c>
      <c r="G987" s="566"/>
      <c r="H987" s="477">
        <f t="shared" si="98"/>
        <v>0</v>
      </c>
      <c r="I987" s="477">
        <v>0</v>
      </c>
      <c r="J987" s="477">
        <f t="shared" si="94"/>
        <v>0</v>
      </c>
      <c r="K987" s="909"/>
      <c r="L987" s="477">
        <f t="shared" si="96"/>
        <v>0</v>
      </c>
      <c r="M987" s="909"/>
    </row>
    <row r="988" spans="1:13" s="6" customFormat="1" x14ac:dyDescent="0.2">
      <c r="A988" s="503"/>
      <c r="B988" s="503"/>
      <c r="C988" s="106" t="s">
        <v>380</v>
      </c>
      <c r="D988" s="194">
        <v>1297700</v>
      </c>
      <c r="E988" s="194"/>
      <c r="F988" s="194">
        <v>0</v>
      </c>
      <c r="G988" s="194"/>
      <c r="H988" s="194">
        <f t="shared" si="98"/>
        <v>1297700</v>
      </c>
      <c r="I988" s="194">
        <v>1328110</v>
      </c>
      <c r="J988" s="194">
        <f t="shared" si="94"/>
        <v>30410</v>
      </c>
      <c r="K988" s="887">
        <f t="shared" si="95"/>
        <v>2.3433767434692148E-2</v>
      </c>
      <c r="L988" s="194">
        <f t="shared" si="96"/>
        <v>30410</v>
      </c>
      <c r="M988" s="887">
        <f t="shared" si="97"/>
        <v>2.3433767434692148E-2</v>
      </c>
    </row>
    <row r="989" spans="1:13" s="486" customFormat="1" x14ac:dyDescent="0.2">
      <c r="A989" s="459"/>
      <c r="B989" s="459"/>
      <c r="C989" s="323"/>
      <c r="D989" s="190"/>
      <c r="E989" s="190"/>
      <c r="F989" s="190">
        <v>0</v>
      </c>
      <c r="G989" s="645"/>
      <c r="H989" s="190">
        <f t="shared" si="98"/>
        <v>0</v>
      </c>
      <c r="I989" s="190">
        <v>0</v>
      </c>
      <c r="J989" s="190">
        <f t="shared" si="94"/>
        <v>0</v>
      </c>
      <c r="K989" s="949"/>
      <c r="L989" s="190">
        <f t="shared" si="96"/>
        <v>0</v>
      </c>
      <c r="M989" s="949"/>
    </row>
    <row r="990" spans="1:13" s="486" customFormat="1" x14ac:dyDescent="0.2">
      <c r="A990" s="503"/>
      <c r="B990" s="503"/>
      <c r="C990" s="292" t="s">
        <v>381</v>
      </c>
      <c r="D990" s="477">
        <f>2481600+132300</f>
        <v>2613900</v>
      </c>
      <c r="E990" s="477"/>
      <c r="F990" s="477">
        <v>1700000</v>
      </c>
      <c r="G990" s="566">
        <f>SUM(G991:G993)</f>
        <v>0</v>
      </c>
      <c r="H990" s="477">
        <f t="shared" si="98"/>
        <v>4313900</v>
      </c>
      <c r="I990" s="477">
        <v>2881600</v>
      </c>
      <c r="J990" s="477">
        <f t="shared" si="94"/>
        <v>267700</v>
      </c>
      <c r="K990" s="909">
        <f t="shared" si="95"/>
        <v>0.10241401736868282</v>
      </c>
      <c r="L990" s="477">
        <f t="shared" si="96"/>
        <v>-1432300</v>
      </c>
      <c r="M990" s="909">
        <f t="shared" si="97"/>
        <v>-0.3320197501101092</v>
      </c>
    </row>
    <row r="991" spans="1:13" s="486" customFormat="1" x14ac:dyDescent="0.2">
      <c r="A991" s="503"/>
      <c r="B991" s="503"/>
      <c r="C991" s="103" t="s">
        <v>552</v>
      </c>
      <c r="D991" s="489">
        <v>1341600</v>
      </c>
      <c r="E991" s="489"/>
      <c r="F991" s="489">
        <v>200000</v>
      </c>
      <c r="G991" s="567">
        <v>253000</v>
      </c>
      <c r="H991" s="489">
        <f t="shared" si="98"/>
        <v>1794600</v>
      </c>
      <c r="I991" s="489">
        <v>1441600</v>
      </c>
      <c r="J991" s="489">
        <f t="shared" si="94"/>
        <v>100000</v>
      </c>
      <c r="K991" s="869">
        <f t="shared" si="95"/>
        <v>7.4537865235539652E-2</v>
      </c>
      <c r="L991" s="489">
        <f t="shared" si="96"/>
        <v>-353000</v>
      </c>
      <c r="M991" s="869">
        <f t="shared" si="97"/>
        <v>-0.19670121475537725</v>
      </c>
    </row>
    <row r="992" spans="1:13" s="486" customFormat="1" x14ac:dyDescent="0.2">
      <c r="A992" s="503"/>
      <c r="B992" s="503"/>
      <c r="C992" s="297" t="s">
        <v>553</v>
      </c>
      <c r="D992" s="489">
        <f>1140000</f>
        <v>1140000</v>
      </c>
      <c r="E992" s="489"/>
      <c r="F992" s="489">
        <v>1500000</v>
      </c>
      <c r="G992" s="567">
        <v>-253000</v>
      </c>
      <c r="H992" s="489">
        <f t="shared" si="98"/>
        <v>2387000</v>
      </c>
      <c r="I992" s="489">
        <v>1440000</v>
      </c>
      <c r="J992" s="489">
        <f t="shared" si="94"/>
        <v>300000</v>
      </c>
      <c r="K992" s="869">
        <f t="shared" si="95"/>
        <v>0.26315789473684209</v>
      </c>
      <c r="L992" s="489">
        <f t="shared" si="96"/>
        <v>-947000</v>
      </c>
      <c r="M992" s="869">
        <f t="shared" si="97"/>
        <v>-0.39673229995810638</v>
      </c>
    </row>
    <row r="993" spans="1:13" x14ac:dyDescent="0.2">
      <c r="C993" s="297" t="s">
        <v>833</v>
      </c>
      <c r="D993" s="489">
        <v>132300</v>
      </c>
      <c r="E993" s="489"/>
      <c r="F993" s="489">
        <v>0</v>
      </c>
      <c r="G993" s="567"/>
      <c r="H993" s="489">
        <f t="shared" si="98"/>
        <v>132300</v>
      </c>
      <c r="I993" s="489">
        <v>0</v>
      </c>
      <c r="J993" s="489">
        <f t="shared" si="94"/>
        <v>-132300</v>
      </c>
      <c r="K993" s="869">
        <f t="shared" si="95"/>
        <v>-1</v>
      </c>
      <c r="L993" s="489">
        <f t="shared" si="96"/>
        <v>-132300</v>
      </c>
      <c r="M993" s="869">
        <f t="shared" si="97"/>
        <v>-1</v>
      </c>
    </row>
    <row r="994" spans="1:13" x14ac:dyDescent="0.2">
      <c r="C994" s="324"/>
      <c r="D994" s="204"/>
      <c r="E994" s="204"/>
      <c r="F994" s="204">
        <v>0</v>
      </c>
      <c r="G994" s="646"/>
      <c r="H994" s="204">
        <f t="shared" si="98"/>
        <v>0</v>
      </c>
      <c r="I994" s="204">
        <v>0</v>
      </c>
      <c r="J994" s="204">
        <f t="shared" si="94"/>
        <v>0</v>
      </c>
      <c r="K994" s="903"/>
      <c r="L994" s="204">
        <f t="shared" si="96"/>
        <v>0</v>
      </c>
      <c r="M994" s="903"/>
    </row>
    <row r="995" spans="1:13" s="6" customFormat="1" ht="78.75" x14ac:dyDescent="0.2">
      <c r="A995" s="503"/>
      <c r="B995" s="503"/>
      <c r="C995" s="437" t="s">
        <v>1103</v>
      </c>
      <c r="D995" s="203"/>
      <c r="E995" s="203"/>
      <c r="F995" s="203">
        <v>0</v>
      </c>
      <c r="G995" s="203"/>
      <c r="H995" s="203">
        <f t="shared" si="98"/>
        <v>0</v>
      </c>
      <c r="I995" s="203">
        <v>0</v>
      </c>
      <c r="J995" s="203">
        <f t="shared" si="94"/>
        <v>0</v>
      </c>
      <c r="K995" s="950"/>
      <c r="L995" s="203">
        <f t="shared" si="96"/>
        <v>0</v>
      </c>
      <c r="M995" s="950"/>
    </row>
    <row r="996" spans="1:13" s="486" customFormat="1" x14ac:dyDescent="0.2">
      <c r="A996" s="459"/>
      <c r="B996" s="459"/>
      <c r="C996" s="324"/>
      <c r="D996" s="204"/>
      <c r="E996" s="204"/>
      <c r="F996" s="204">
        <v>0</v>
      </c>
      <c r="G996" s="646"/>
      <c r="H996" s="204">
        <f t="shared" si="98"/>
        <v>0</v>
      </c>
      <c r="I996" s="204">
        <v>0</v>
      </c>
      <c r="J996" s="204">
        <f t="shared" si="94"/>
        <v>0</v>
      </c>
      <c r="K996" s="903"/>
      <c r="L996" s="204">
        <f t="shared" si="96"/>
        <v>0</v>
      </c>
      <c r="M996" s="903"/>
    </row>
    <row r="997" spans="1:13" s="6" customFormat="1" x14ac:dyDescent="0.2">
      <c r="A997" s="503"/>
      <c r="B997" s="503"/>
      <c r="C997" s="292" t="s">
        <v>1104</v>
      </c>
      <c r="D997" s="477">
        <v>1038787</v>
      </c>
      <c r="E997" s="477"/>
      <c r="F997" s="477">
        <v>-45000</v>
      </c>
      <c r="G997" s="570"/>
      <c r="H997" s="477">
        <f t="shared" si="98"/>
        <v>993787</v>
      </c>
      <c r="I997" s="477">
        <v>1038787</v>
      </c>
      <c r="J997" s="477">
        <f t="shared" si="94"/>
        <v>0</v>
      </c>
      <c r="K997" s="909">
        <f t="shared" si="95"/>
        <v>0</v>
      </c>
      <c r="L997" s="477">
        <f t="shared" si="96"/>
        <v>45000</v>
      </c>
      <c r="M997" s="909">
        <f t="shared" si="97"/>
        <v>4.528133292144091E-2</v>
      </c>
    </row>
    <row r="998" spans="1:13" x14ac:dyDescent="0.2">
      <c r="A998" s="459"/>
      <c r="B998" s="459"/>
      <c r="C998" s="392"/>
      <c r="D998" s="194"/>
      <c r="E998" s="194"/>
      <c r="F998" s="194">
        <v>0</v>
      </c>
      <c r="G998" s="194"/>
      <c r="H998" s="194">
        <f t="shared" si="98"/>
        <v>0</v>
      </c>
      <c r="I998" s="194">
        <v>0</v>
      </c>
      <c r="J998" s="194">
        <f t="shared" si="94"/>
        <v>0</v>
      </c>
      <c r="K998" s="887"/>
      <c r="L998" s="194">
        <f t="shared" si="96"/>
        <v>0</v>
      </c>
      <c r="M998" s="887"/>
    </row>
    <row r="999" spans="1:13" x14ac:dyDescent="0.2">
      <c r="C999" s="100" t="s">
        <v>197</v>
      </c>
      <c r="D999" s="170">
        <f>SUM(D1001,D1004,D1012,D1017,D1022,D1037,D1042,D1057,D1059,D1047,D1027,D1032)</f>
        <v>3805432</v>
      </c>
      <c r="E999" s="170"/>
      <c r="F999" s="488">
        <f>SUM(F1001,F1004,F1012,F1017,F1022,F1037,F1042,F1057,F1059,F1047,F1027,F1032,F1052)</f>
        <v>232231</v>
      </c>
      <c r="G999" s="570">
        <f>SUM(G1001,G1004,G1012,G1017,G1022,G1037,G1042,G1057,G1059,G1047,G1027,G1032)</f>
        <v>-5407</v>
      </c>
      <c r="H999" s="488">
        <f t="shared" si="98"/>
        <v>4032256</v>
      </c>
      <c r="I999" s="488">
        <v>3499753</v>
      </c>
      <c r="J999" s="488">
        <f t="shared" si="94"/>
        <v>-305679</v>
      </c>
      <c r="K999" s="865">
        <f t="shared" si="95"/>
        <v>-8.0327016748689764E-2</v>
      </c>
      <c r="L999" s="488">
        <f t="shared" si="96"/>
        <v>-532503</v>
      </c>
      <c r="M999" s="865">
        <f t="shared" si="97"/>
        <v>-0.13206081161513555</v>
      </c>
    </row>
    <row r="1000" spans="1:13" x14ac:dyDescent="0.2">
      <c r="C1000" s="100"/>
      <c r="D1000" s="170"/>
      <c r="E1000" s="170"/>
      <c r="F1000" s="488">
        <v>0</v>
      </c>
      <c r="G1000" s="570"/>
      <c r="H1000" s="488">
        <f t="shared" si="98"/>
        <v>0</v>
      </c>
      <c r="I1000" s="488">
        <v>0</v>
      </c>
      <c r="J1000" s="488">
        <f t="shared" si="94"/>
        <v>0</v>
      </c>
      <c r="K1000" s="865"/>
      <c r="L1000" s="488">
        <f t="shared" si="96"/>
        <v>0</v>
      </c>
      <c r="M1000" s="865"/>
    </row>
    <row r="1001" spans="1:13" x14ac:dyDescent="0.2">
      <c r="A1001" s="459" t="s">
        <v>874</v>
      </c>
      <c r="B1001" s="459" t="s">
        <v>875</v>
      </c>
      <c r="C1001" s="104" t="s">
        <v>107</v>
      </c>
      <c r="D1001" s="172">
        <v>1759089</v>
      </c>
      <c r="E1001" s="172"/>
      <c r="F1001" s="172">
        <v>19847</v>
      </c>
      <c r="G1001" s="574">
        <v>-5407</v>
      </c>
      <c r="H1001" s="172">
        <f t="shared" si="98"/>
        <v>1773529</v>
      </c>
      <c r="I1001" s="172">
        <v>1929507</v>
      </c>
      <c r="J1001" s="172">
        <f t="shared" si="94"/>
        <v>170418</v>
      </c>
      <c r="K1001" s="524">
        <f t="shared" si="95"/>
        <v>9.6878554751919879E-2</v>
      </c>
      <c r="L1001" s="172">
        <f t="shared" si="96"/>
        <v>155978</v>
      </c>
      <c r="M1001" s="524">
        <f t="shared" si="97"/>
        <v>8.7947814780587177E-2</v>
      </c>
    </row>
    <row r="1002" spans="1:13" x14ac:dyDescent="0.2">
      <c r="C1002" s="308" t="s">
        <v>119</v>
      </c>
      <c r="D1002" s="489">
        <v>1167099</v>
      </c>
      <c r="E1002" s="145"/>
      <c r="F1002" s="489">
        <v>14745</v>
      </c>
      <c r="G1002" s="781">
        <v>-4041</v>
      </c>
      <c r="H1002" s="489">
        <f t="shared" si="98"/>
        <v>1177803</v>
      </c>
      <c r="I1002" s="489">
        <v>1293219</v>
      </c>
      <c r="J1002" s="489">
        <f t="shared" si="94"/>
        <v>126120</v>
      </c>
      <c r="K1002" s="869">
        <f t="shared" si="95"/>
        <v>0.10806281215218247</v>
      </c>
      <c r="L1002" s="489">
        <f t="shared" si="96"/>
        <v>115416</v>
      </c>
      <c r="M1002" s="869">
        <f t="shared" si="97"/>
        <v>9.7992618459963168E-2</v>
      </c>
    </row>
    <row r="1003" spans="1:13" s="486" customFormat="1" x14ac:dyDescent="0.2">
      <c r="A1003" s="503"/>
      <c r="B1003" s="503"/>
      <c r="C1003" s="393"/>
      <c r="D1003" s="182"/>
      <c r="E1003" s="182"/>
      <c r="F1003" s="491">
        <v>0</v>
      </c>
      <c r="G1003" s="571"/>
      <c r="H1003" s="491">
        <f t="shared" si="98"/>
        <v>0</v>
      </c>
      <c r="I1003" s="491">
        <v>0</v>
      </c>
      <c r="J1003" s="491">
        <f t="shared" si="94"/>
        <v>0</v>
      </c>
      <c r="K1003" s="866"/>
      <c r="L1003" s="491">
        <f t="shared" si="96"/>
        <v>0</v>
      </c>
      <c r="M1003" s="866"/>
    </row>
    <row r="1004" spans="1:13" s="486" customFormat="1" x14ac:dyDescent="0.2">
      <c r="A1004" s="459" t="s">
        <v>874</v>
      </c>
      <c r="B1004" s="459" t="s">
        <v>875</v>
      </c>
      <c r="C1004" s="338" t="s">
        <v>523</v>
      </c>
      <c r="D1004" s="179">
        <f>SUM(D1005:D1008)</f>
        <v>715235</v>
      </c>
      <c r="E1004" s="179"/>
      <c r="F1004" s="179">
        <v>50100</v>
      </c>
      <c r="G1004" s="577"/>
      <c r="H1004" s="179">
        <f t="shared" si="98"/>
        <v>765335</v>
      </c>
      <c r="I1004" s="179">
        <v>780000</v>
      </c>
      <c r="J1004" s="179">
        <f t="shared" si="94"/>
        <v>64765</v>
      </c>
      <c r="K1004" s="542">
        <f t="shared" si="95"/>
        <v>9.0550658175285043E-2</v>
      </c>
      <c r="L1004" s="179">
        <f t="shared" si="96"/>
        <v>14665</v>
      </c>
      <c r="M1004" s="542">
        <f t="shared" si="97"/>
        <v>1.9161543637753402E-2</v>
      </c>
    </row>
    <row r="1005" spans="1:13" s="486" customFormat="1" x14ac:dyDescent="0.2">
      <c r="A1005" s="503"/>
      <c r="B1005" s="503"/>
      <c r="C1005" s="305" t="s">
        <v>709</v>
      </c>
      <c r="D1005" s="490">
        <v>322000</v>
      </c>
      <c r="E1005" s="490"/>
      <c r="F1005" s="490">
        <v>-3000</v>
      </c>
      <c r="G1005" s="612"/>
      <c r="H1005" s="490">
        <f t="shared" si="98"/>
        <v>319000</v>
      </c>
      <c r="I1005" s="490">
        <v>320000</v>
      </c>
      <c r="J1005" s="490">
        <f t="shared" si="94"/>
        <v>-2000</v>
      </c>
      <c r="K1005" s="914">
        <f t="shared" si="95"/>
        <v>-6.2111801242236021E-3</v>
      </c>
      <c r="L1005" s="490">
        <f t="shared" si="96"/>
        <v>1000</v>
      </c>
      <c r="M1005" s="914">
        <f t="shared" si="97"/>
        <v>3.134796238244514E-3</v>
      </c>
    </row>
    <row r="1006" spans="1:13" s="486" customFormat="1" x14ac:dyDescent="0.2">
      <c r="A1006" s="503"/>
      <c r="B1006" s="503"/>
      <c r="C1006" s="394" t="s">
        <v>382</v>
      </c>
      <c r="D1006" s="205">
        <v>192000</v>
      </c>
      <c r="E1006" s="205"/>
      <c r="F1006" s="205">
        <v>29100</v>
      </c>
      <c r="G1006" s="607"/>
      <c r="H1006" s="205">
        <f t="shared" si="98"/>
        <v>221100</v>
      </c>
      <c r="I1006" s="205">
        <v>230000</v>
      </c>
      <c r="J1006" s="205">
        <f t="shared" si="94"/>
        <v>38000</v>
      </c>
      <c r="K1006" s="928">
        <f t="shared" si="95"/>
        <v>0.19791666666666666</v>
      </c>
      <c r="L1006" s="205">
        <f t="shared" si="96"/>
        <v>8900</v>
      </c>
      <c r="M1006" s="928">
        <f t="shared" si="97"/>
        <v>4.0253279059249206E-2</v>
      </c>
    </row>
    <row r="1007" spans="1:13" s="486" customFormat="1" x14ac:dyDescent="0.2">
      <c r="A1007" s="503"/>
      <c r="B1007" s="503"/>
      <c r="C1007" s="394" t="s">
        <v>522</v>
      </c>
      <c r="D1007" s="205">
        <v>155235</v>
      </c>
      <c r="E1007" s="205"/>
      <c r="F1007" s="205">
        <v>0</v>
      </c>
      <c r="G1007" s="607"/>
      <c r="H1007" s="205">
        <f t="shared" si="98"/>
        <v>155235</v>
      </c>
      <c r="I1007" s="205">
        <v>160000</v>
      </c>
      <c r="J1007" s="205">
        <f t="shared" si="94"/>
        <v>4765</v>
      </c>
      <c r="K1007" s="928">
        <f t="shared" si="95"/>
        <v>3.0695397300866428E-2</v>
      </c>
      <c r="L1007" s="205">
        <f t="shared" si="96"/>
        <v>4765</v>
      </c>
      <c r="M1007" s="928">
        <f t="shared" si="97"/>
        <v>3.0695397300866428E-2</v>
      </c>
    </row>
    <row r="1008" spans="1:13" x14ac:dyDescent="0.2">
      <c r="C1008" s="394" t="s">
        <v>383</v>
      </c>
      <c r="D1008" s="205">
        <v>46000</v>
      </c>
      <c r="E1008" s="205"/>
      <c r="F1008" s="205">
        <v>24000</v>
      </c>
      <c r="G1008" s="607"/>
      <c r="H1008" s="205">
        <f t="shared" si="98"/>
        <v>70000</v>
      </c>
      <c r="I1008" s="205">
        <v>70000</v>
      </c>
      <c r="J1008" s="205">
        <f t="shared" si="94"/>
        <v>24000</v>
      </c>
      <c r="K1008" s="928">
        <f t="shared" si="95"/>
        <v>0.52173913043478259</v>
      </c>
      <c r="L1008" s="205">
        <f t="shared" si="96"/>
        <v>0</v>
      </c>
      <c r="M1008" s="928">
        <f t="shared" si="97"/>
        <v>0</v>
      </c>
    </row>
    <row r="1009" spans="1:13" x14ac:dyDescent="0.2">
      <c r="C1009" s="394"/>
      <c r="D1009" s="205"/>
      <c r="E1009" s="205"/>
      <c r="F1009" s="205">
        <v>0</v>
      </c>
      <c r="G1009" s="607"/>
      <c r="H1009" s="205">
        <f t="shared" si="98"/>
        <v>0</v>
      </c>
      <c r="I1009" s="205">
        <v>0</v>
      </c>
      <c r="J1009" s="205">
        <f t="shared" si="94"/>
        <v>0</v>
      </c>
      <c r="K1009" s="928"/>
      <c r="L1009" s="205">
        <f t="shared" si="96"/>
        <v>0</v>
      </c>
      <c r="M1009" s="928"/>
    </row>
    <row r="1010" spans="1:13" x14ac:dyDescent="0.2">
      <c r="C1010" s="406" t="s">
        <v>397</v>
      </c>
      <c r="D1010" s="201"/>
      <c r="E1010" s="201"/>
      <c r="F1010" s="490">
        <v>0</v>
      </c>
      <c r="G1010" s="612"/>
      <c r="H1010" s="490">
        <f t="shared" si="98"/>
        <v>0</v>
      </c>
      <c r="I1010" s="490">
        <v>0</v>
      </c>
      <c r="J1010" s="490">
        <f t="shared" si="94"/>
        <v>0</v>
      </c>
      <c r="K1010" s="914"/>
      <c r="L1010" s="490">
        <f t="shared" si="96"/>
        <v>0</v>
      </c>
      <c r="M1010" s="914"/>
    </row>
    <row r="1011" spans="1:13" x14ac:dyDescent="0.2">
      <c r="C1011" s="395"/>
      <c r="D1011" s="198"/>
      <c r="E1011" s="198"/>
      <c r="F1011" s="198">
        <v>0</v>
      </c>
      <c r="G1011" s="607"/>
      <c r="H1011" s="198">
        <f t="shared" si="98"/>
        <v>0</v>
      </c>
      <c r="I1011" s="198">
        <v>0</v>
      </c>
      <c r="J1011" s="198">
        <f t="shared" si="94"/>
        <v>0</v>
      </c>
      <c r="K1011" s="915"/>
      <c r="L1011" s="198">
        <f t="shared" si="96"/>
        <v>0</v>
      </c>
      <c r="M1011" s="915"/>
    </row>
    <row r="1012" spans="1:13" x14ac:dyDescent="0.2">
      <c r="A1012" s="459" t="s">
        <v>874</v>
      </c>
      <c r="B1012" s="459" t="s">
        <v>875</v>
      </c>
      <c r="C1012" s="307" t="s">
        <v>1028</v>
      </c>
      <c r="D1012" s="202">
        <f>SUM(D1013:D1014)</f>
        <v>265020</v>
      </c>
      <c r="E1012" s="202"/>
      <c r="F1012" s="493">
        <v>0</v>
      </c>
      <c r="G1012" s="601"/>
      <c r="H1012" s="493">
        <f t="shared" si="98"/>
        <v>265020</v>
      </c>
      <c r="I1012" s="493">
        <v>269320</v>
      </c>
      <c r="J1012" s="493">
        <f t="shared" si="94"/>
        <v>4300</v>
      </c>
      <c r="K1012" s="868">
        <f t="shared" si="95"/>
        <v>1.6225190551656478E-2</v>
      </c>
      <c r="L1012" s="493">
        <f t="shared" si="96"/>
        <v>4300</v>
      </c>
      <c r="M1012" s="868">
        <f t="shared" si="97"/>
        <v>1.6225190551656478E-2</v>
      </c>
    </row>
    <row r="1013" spans="1:13" x14ac:dyDescent="0.2">
      <c r="C1013" s="305" t="s">
        <v>710</v>
      </c>
      <c r="D1013" s="201">
        <v>254320</v>
      </c>
      <c r="E1013" s="201"/>
      <c r="F1013" s="490">
        <v>0</v>
      </c>
      <c r="G1013" s="612"/>
      <c r="H1013" s="490">
        <f t="shared" si="98"/>
        <v>254320</v>
      </c>
      <c r="I1013" s="490">
        <v>254320</v>
      </c>
      <c r="J1013" s="490">
        <f t="shared" si="94"/>
        <v>0</v>
      </c>
      <c r="K1013" s="914">
        <f t="shared" si="95"/>
        <v>0</v>
      </c>
      <c r="L1013" s="490">
        <f t="shared" si="96"/>
        <v>0</v>
      </c>
      <c r="M1013" s="914">
        <f t="shared" si="97"/>
        <v>0</v>
      </c>
    </row>
    <row r="1014" spans="1:13" x14ac:dyDescent="0.2">
      <c r="C1014" s="396" t="s">
        <v>384</v>
      </c>
      <c r="D1014" s="206">
        <v>10700</v>
      </c>
      <c r="E1014" s="206"/>
      <c r="F1014" s="206">
        <v>0</v>
      </c>
      <c r="G1014" s="612"/>
      <c r="H1014" s="206">
        <f t="shared" si="98"/>
        <v>10700</v>
      </c>
      <c r="I1014" s="206">
        <v>15000</v>
      </c>
      <c r="J1014" s="206">
        <f t="shared" si="94"/>
        <v>4300</v>
      </c>
      <c r="K1014" s="927">
        <f t="shared" si="95"/>
        <v>0.40186915887850466</v>
      </c>
      <c r="L1014" s="206">
        <f t="shared" si="96"/>
        <v>4300</v>
      </c>
      <c r="M1014" s="927">
        <f t="shared" si="97"/>
        <v>0.40186915887850466</v>
      </c>
    </row>
    <row r="1015" spans="1:13" s="486" customFormat="1" x14ac:dyDescent="0.2">
      <c r="A1015" s="503"/>
      <c r="B1015" s="503"/>
      <c r="C1015" s="861" t="s">
        <v>397</v>
      </c>
      <c r="D1015" s="170"/>
      <c r="E1015" s="170"/>
      <c r="F1015" s="488">
        <v>0</v>
      </c>
      <c r="G1015" s="570"/>
      <c r="H1015" s="488">
        <f t="shared" si="98"/>
        <v>0</v>
      </c>
      <c r="I1015" s="488">
        <v>0</v>
      </c>
      <c r="J1015" s="488">
        <f t="shared" si="94"/>
        <v>0</v>
      </c>
      <c r="K1015" s="865"/>
      <c r="L1015" s="488">
        <f t="shared" si="96"/>
        <v>0</v>
      </c>
      <c r="M1015" s="865"/>
    </row>
    <row r="1016" spans="1:13" s="486" customFormat="1" x14ac:dyDescent="0.2">
      <c r="A1016" s="503"/>
      <c r="B1016" s="503"/>
      <c r="C1016" s="747"/>
      <c r="D1016" s="488"/>
      <c r="E1016" s="488"/>
      <c r="F1016" s="488"/>
      <c r="G1016" s="570"/>
      <c r="H1016" s="488">
        <f t="shared" si="98"/>
        <v>0</v>
      </c>
      <c r="I1016" s="488">
        <v>0</v>
      </c>
      <c r="J1016" s="488">
        <f t="shared" ref="J1016:J1079" si="99">I1016-D1016</f>
        <v>0</v>
      </c>
      <c r="K1016" s="865"/>
      <c r="L1016" s="488">
        <f t="shared" ref="L1016:L1079" si="100">I1016-H1016</f>
        <v>0</v>
      </c>
      <c r="M1016" s="865"/>
    </row>
    <row r="1017" spans="1:13" s="486" customFormat="1" x14ac:dyDescent="0.2">
      <c r="A1017" s="459" t="s">
        <v>874</v>
      </c>
      <c r="B1017" s="459" t="s">
        <v>875</v>
      </c>
      <c r="C1017" s="307" t="s">
        <v>385</v>
      </c>
      <c r="D1017" s="493">
        <f>SUM(D1018:D1020)</f>
        <v>255000</v>
      </c>
      <c r="E1017" s="493"/>
      <c r="F1017" s="493">
        <v>33000</v>
      </c>
      <c r="G1017" s="601">
        <f>SUM(G1018:G1020)</f>
        <v>0</v>
      </c>
      <c r="H1017" s="493">
        <f t="shared" si="98"/>
        <v>288000</v>
      </c>
      <c r="I1017" s="493">
        <v>304284</v>
      </c>
      <c r="J1017" s="493">
        <f t="shared" si="99"/>
        <v>49284</v>
      </c>
      <c r="K1017" s="868">
        <f t="shared" ref="K1017:K1078" si="101">J1017/D1017</f>
        <v>0.19327058823529411</v>
      </c>
      <c r="L1017" s="493">
        <f t="shared" si="100"/>
        <v>16284</v>
      </c>
      <c r="M1017" s="868">
        <f t="shared" ref="M1017:M1078" si="102">L1017/H1017</f>
        <v>5.6541666666666664E-2</v>
      </c>
    </row>
    <row r="1018" spans="1:13" s="486" customFormat="1" x14ac:dyDescent="0.2">
      <c r="A1018" s="503"/>
      <c r="B1018" s="503"/>
      <c r="C1018" s="305" t="s">
        <v>711</v>
      </c>
      <c r="D1018" s="490">
        <v>55000</v>
      </c>
      <c r="E1018" s="490"/>
      <c r="F1018" s="490">
        <v>33000</v>
      </c>
      <c r="G1018" s="612">
        <v>1000</v>
      </c>
      <c r="H1018" s="490">
        <f t="shared" si="98"/>
        <v>89000</v>
      </c>
      <c r="I1018" s="490">
        <v>133000</v>
      </c>
      <c r="J1018" s="490">
        <f t="shared" si="99"/>
        <v>78000</v>
      </c>
      <c r="K1018" s="914">
        <f t="shared" si="101"/>
        <v>1.4181818181818182</v>
      </c>
      <c r="L1018" s="490">
        <f t="shared" si="100"/>
        <v>44000</v>
      </c>
      <c r="M1018" s="914">
        <f t="shared" si="102"/>
        <v>0.4943820224719101</v>
      </c>
    </row>
    <row r="1019" spans="1:13" s="486" customFormat="1" x14ac:dyDescent="0.2">
      <c r="A1019" s="503"/>
      <c r="B1019" s="503"/>
      <c r="C1019" s="396" t="s">
        <v>1081</v>
      </c>
      <c r="D1019" s="206">
        <v>190000</v>
      </c>
      <c r="E1019" s="206"/>
      <c r="F1019" s="206">
        <v>0</v>
      </c>
      <c r="G1019" s="612"/>
      <c r="H1019" s="206">
        <f t="shared" si="98"/>
        <v>190000</v>
      </c>
      <c r="I1019" s="206">
        <v>128284</v>
      </c>
      <c r="J1019" s="206">
        <f t="shared" si="99"/>
        <v>-61716</v>
      </c>
      <c r="K1019" s="927">
        <f t="shared" si="101"/>
        <v>-0.32482105263157895</v>
      </c>
      <c r="L1019" s="206">
        <f t="shared" si="100"/>
        <v>-61716</v>
      </c>
      <c r="M1019" s="927">
        <f t="shared" si="102"/>
        <v>-0.32482105263157895</v>
      </c>
    </row>
    <row r="1020" spans="1:13" x14ac:dyDescent="0.2">
      <c r="C1020" s="396" t="s">
        <v>386</v>
      </c>
      <c r="D1020" s="206">
        <v>10000</v>
      </c>
      <c r="E1020" s="206"/>
      <c r="F1020" s="206">
        <v>0</v>
      </c>
      <c r="G1020" s="612">
        <v>-1000</v>
      </c>
      <c r="H1020" s="206">
        <f t="shared" si="98"/>
        <v>9000</v>
      </c>
      <c r="I1020" s="206">
        <v>43000</v>
      </c>
      <c r="J1020" s="206">
        <f t="shared" si="99"/>
        <v>33000</v>
      </c>
      <c r="K1020" s="927">
        <f t="shared" si="101"/>
        <v>3.3</v>
      </c>
      <c r="L1020" s="206">
        <f t="shared" si="100"/>
        <v>34000</v>
      </c>
      <c r="M1020" s="927">
        <f t="shared" si="102"/>
        <v>3.7777777777777777</v>
      </c>
    </row>
    <row r="1021" spans="1:13" s="486" customFormat="1" x14ac:dyDescent="0.2">
      <c r="A1021" s="503"/>
      <c r="B1021" s="503"/>
      <c r="C1021" s="311"/>
      <c r="D1021" s="201"/>
      <c r="E1021" s="201"/>
      <c r="F1021" s="490">
        <v>0</v>
      </c>
      <c r="G1021" s="612"/>
      <c r="H1021" s="490">
        <f t="shared" si="98"/>
        <v>0</v>
      </c>
      <c r="I1021" s="490">
        <v>0</v>
      </c>
      <c r="J1021" s="490">
        <f t="shared" si="99"/>
        <v>0</v>
      </c>
      <c r="K1021" s="914"/>
      <c r="L1021" s="490">
        <f t="shared" si="100"/>
        <v>0</v>
      </c>
      <c r="M1021" s="914"/>
    </row>
    <row r="1022" spans="1:13" s="486" customFormat="1" ht="38.25" x14ac:dyDescent="0.2">
      <c r="A1022" s="459" t="s">
        <v>874</v>
      </c>
      <c r="B1022" s="459" t="s">
        <v>875</v>
      </c>
      <c r="C1022" s="315" t="s">
        <v>478</v>
      </c>
      <c r="D1022" s="496">
        <v>421666</v>
      </c>
      <c r="E1022" s="496"/>
      <c r="F1022" s="496">
        <v>64033</v>
      </c>
      <c r="G1022" s="613"/>
      <c r="H1022" s="496">
        <f t="shared" ref="H1022:H1085" si="103">D1022+E1022+F1022+G1022</f>
        <v>485699</v>
      </c>
      <c r="I1022" s="496">
        <v>0</v>
      </c>
      <c r="J1022" s="496">
        <f t="shared" si="99"/>
        <v>-421666</v>
      </c>
      <c r="K1022" s="887">
        <f t="shared" si="101"/>
        <v>-1</v>
      </c>
      <c r="L1022" s="496">
        <f t="shared" si="100"/>
        <v>-485699</v>
      </c>
      <c r="M1022" s="887">
        <f t="shared" si="102"/>
        <v>-1</v>
      </c>
    </row>
    <row r="1023" spans="1:13" s="486" customFormat="1" x14ac:dyDescent="0.2">
      <c r="A1023" s="503"/>
      <c r="B1023" s="503"/>
      <c r="C1023" s="308" t="s">
        <v>119</v>
      </c>
      <c r="D1023" s="489">
        <v>3581</v>
      </c>
      <c r="E1023" s="489"/>
      <c r="F1023" s="489">
        <v>4500</v>
      </c>
      <c r="G1023" s="567"/>
      <c r="H1023" s="489">
        <f t="shared" si="103"/>
        <v>8081</v>
      </c>
      <c r="I1023" s="489">
        <v>0</v>
      </c>
      <c r="J1023" s="489">
        <f t="shared" si="99"/>
        <v>-3581</v>
      </c>
      <c r="K1023" s="869">
        <f t="shared" si="101"/>
        <v>-1</v>
      </c>
      <c r="L1023" s="489">
        <f t="shared" si="100"/>
        <v>-8081</v>
      </c>
      <c r="M1023" s="869">
        <f t="shared" si="102"/>
        <v>-1</v>
      </c>
    </row>
    <row r="1024" spans="1:13" s="486" customFormat="1" x14ac:dyDescent="0.2">
      <c r="A1024" s="503"/>
      <c r="B1024" s="503"/>
      <c r="C1024" s="340"/>
      <c r="D1024" s="207"/>
      <c r="E1024" s="207"/>
      <c r="F1024" s="207">
        <v>0</v>
      </c>
      <c r="G1024" s="599"/>
      <c r="H1024" s="207">
        <f t="shared" si="103"/>
        <v>0</v>
      </c>
      <c r="I1024" s="207">
        <v>0</v>
      </c>
      <c r="J1024" s="207">
        <f t="shared" si="99"/>
        <v>0</v>
      </c>
      <c r="K1024" s="950"/>
      <c r="L1024" s="207">
        <f t="shared" si="100"/>
        <v>0</v>
      </c>
      <c r="M1024" s="950"/>
    </row>
    <row r="1025" spans="1:13" x14ac:dyDescent="0.2">
      <c r="C1025" s="299" t="s">
        <v>329</v>
      </c>
      <c r="D1025" s="495">
        <v>401737</v>
      </c>
      <c r="E1025" s="495"/>
      <c r="F1025" s="495">
        <v>53788</v>
      </c>
      <c r="G1025" s="568"/>
      <c r="H1025" s="495">
        <f t="shared" si="103"/>
        <v>455525</v>
      </c>
      <c r="I1025" s="495">
        <v>0</v>
      </c>
      <c r="J1025" s="495">
        <f t="shared" si="99"/>
        <v>-401737</v>
      </c>
      <c r="K1025" s="888">
        <f t="shared" si="101"/>
        <v>-1</v>
      </c>
      <c r="L1025" s="495">
        <f t="shared" si="100"/>
        <v>-455525</v>
      </c>
      <c r="M1025" s="888">
        <f t="shared" si="102"/>
        <v>-1</v>
      </c>
    </row>
    <row r="1026" spans="1:13" x14ac:dyDescent="0.2">
      <c r="C1026" s="299"/>
      <c r="D1026" s="196"/>
      <c r="E1026" s="196"/>
      <c r="F1026" s="495">
        <v>0</v>
      </c>
      <c r="G1026" s="568"/>
      <c r="H1026" s="495">
        <f t="shared" si="103"/>
        <v>0</v>
      </c>
      <c r="I1026" s="495">
        <v>0</v>
      </c>
      <c r="J1026" s="495">
        <f t="shared" si="99"/>
        <v>0</v>
      </c>
      <c r="K1026" s="888"/>
      <c r="L1026" s="495">
        <f t="shared" si="100"/>
        <v>0</v>
      </c>
      <c r="M1026" s="888"/>
    </row>
    <row r="1027" spans="1:13" s="56" customFormat="1" ht="25.5" x14ac:dyDescent="0.2">
      <c r="A1027" s="459" t="s">
        <v>874</v>
      </c>
      <c r="B1027" s="459" t="s">
        <v>875</v>
      </c>
      <c r="C1027" s="315" t="s">
        <v>712</v>
      </c>
      <c r="D1027" s="197">
        <v>67000</v>
      </c>
      <c r="E1027" s="197"/>
      <c r="F1027" s="496">
        <v>0</v>
      </c>
      <c r="G1027" s="613"/>
      <c r="H1027" s="496">
        <f t="shared" si="103"/>
        <v>67000</v>
      </c>
      <c r="I1027" s="496">
        <v>0</v>
      </c>
      <c r="J1027" s="496">
        <f t="shared" si="99"/>
        <v>-67000</v>
      </c>
      <c r="K1027" s="887">
        <f t="shared" si="101"/>
        <v>-1</v>
      </c>
      <c r="L1027" s="496">
        <f t="shared" si="100"/>
        <v>-67000</v>
      </c>
      <c r="M1027" s="887">
        <f t="shared" si="102"/>
        <v>-1</v>
      </c>
    </row>
    <row r="1028" spans="1:13" x14ac:dyDescent="0.2">
      <c r="C1028" s="308" t="s">
        <v>119</v>
      </c>
      <c r="D1028" s="489">
        <v>24665</v>
      </c>
      <c r="E1028" s="145"/>
      <c r="F1028" s="489">
        <v>0</v>
      </c>
      <c r="G1028" s="567"/>
      <c r="H1028" s="489">
        <f t="shared" si="103"/>
        <v>24665</v>
      </c>
      <c r="I1028" s="489">
        <v>0</v>
      </c>
      <c r="J1028" s="489">
        <f t="shared" si="99"/>
        <v>-24665</v>
      </c>
      <c r="K1028" s="869">
        <f t="shared" si="101"/>
        <v>-1</v>
      </c>
      <c r="L1028" s="489">
        <f t="shared" si="100"/>
        <v>-24665</v>
      </c>
      <c r="M1028" s="869">
        <f t="shared" si="102"/>
        <v>-1</v>
      </c>
    </row>
    <row r="1029" spans="1:13" x14ac:dyDescent="0.2">
      <c r="C1029" s="340"/>
      <c r="D1029" s="207"/>
      <c r="E1029" s="207"/>
      <c r="F1029" s="207">
        <v>0</v>
      </c>
      <c r="G1029" s="599"/>
      <c r="H1029" s="207">
        <f t="shared" si="103"/>
        <v>0</v>
      </c>
      <c r="I1029" s="207">
        <v>0</v>
      </c>
      <c r="J1029" s="207">
        <f t="shared" si="99"/>
        <v>0</v>
      </c>
      <c r="K1029" s="950"/>
      <c r="L1029" s="207">
        <f t="shared" si="100"/>
        <v>0</v>
      </c>
      <c r="M1029" s="950"/>
    </row>
    <row r="1030" spans="1:13" x14ac:dyDescent="0.2">
      <c r="C1030" s="299" t="s">
        <v>329</v>
      </c>
      <c r="D1030" s="196">
        <v>56950</v>
      </c>
      <c r="E1030" s="196"/>
      <c r="F1030" s="495">
        <v>0</v>
      </c>
      <c r="G1030" s="568"/>
      <c r="H1030" s="495">
        <f t="shared" si="103"/>
        <v>56950</v>
      </c>
      <c r="I1030" s="495">
        <v>0</v>
      </c>
      <c r="J1030" s="495">
        <f t="shared" si="99"/>
        <v>-56950</v>
      </c>
      <c r="K1030" s="888">
        <f t="shared" si="101"/>
        <v>-1</v>
      </c>
      <c r="L1030" s="495">
        <f t="shared" si="100"/>
        <v>-56950</v>
      </c>
      <c r="M1030" s="888">
        <f t="shared" si="102"/>
        <v>-1</v>
      </c>
    </row>
    <row r="1031" spans="1:13" x14ac:dyDescent="0.2">
      <c r="C1031" s="308"/>
      <c r="D1031" s="145"/>
      <c r="E1031" s="145"/>
      <c r="F1031" s="489">
        <v>0</v>
      </c>
      <c r="G1031" s="567"/>
      <c r="H1031" s="489">
        <f t="shared" si="103"/>
        <v>0</v>
      </c>
      <c r="I1031" s="489">
        <v>0</v>
      </c>
      <c r="J1031" s="489">
        <f t="shared" si="99"/>
        <v>0</v>
      </c>
      <c r="K1031" s="869"/>
      <c r="L1031" s="489">
        <f t="shared" si="100"/>
        <v>0</v>
      </c>
      <c r="M1031" s="869"/>
    </row>
    <row r="1032" spans="1:13" s="486" customFormat="1" x14ac:dyDescent="0.2">
      <c r="A1032" s="459" t="s">
        <v>874</v>
      </c>
      <c r="B1032" s="459" t="s">
        <v>875</v>
      </c>
      <c r="C1032" s="315" t="s">
        <v>713</v>
      </c>
      <c r="D1032" s="197">
        <v>59238</v>
      </c>
      <c r="E1032" s="197"/>
      <c r="F1032" s="496">
        <v>0</v>
      </c>
      <c r="G1032" s="613"/>
      <c r="H1032" s="496">
        <f t="shared" si="103"/>
        <v>59238</v>
      </c>
      <c r="I1032" s="496">
        <v>2442</v>
      </c>
      <c r="J1032" s="496">
        <f t="shared" si="99"/>
        <v>-56796</v>
      </c>
      <c r="K1032" s="887">
        <f t="shared" si="101"/>
        <v>-0.95877646105540359</v>
      </c>
      <c r="L1032" s="496">
        <f t="shared" si="100"/>
        <v>-56796</v>
      </c>
      <c r="M1032" s="887">
        <f t="shared" si="102"/>
        <v>-0.95877646105540359</v>
      </c>
    </row>
    <row r="1033" spans="1:13" x14ac:dyDescent="0.2">
      <c r="C1033" s="308" t="s">
        <v>119</v>
      </c>
      <c r="D1033" s="489">
        <v>5605</v>
      </c>
      <c r="E1033" s="489"/>
      <c r="F1033" s="489">
        <v>-2526</v>
      </c>
      <c r="G1033" s="567"/>
      <c r="H1033" s="489">
        <f t="shared" si="103"/>
        <v>3079</v>
      </c>
      <c r="I1033" s="489">
        <v>1825</v>
      </c>
      <c r="J1033" s="489">
        <f t="shared" si="99"/>
        <v>-3780</v>
      </c>
      <c r="K1033" s="869">
        <f t="shared" si="101"/>
        <v>-0.67439785905441574</v>
      </c>
      <c r="L1033" s="489">
        <f t="shared" si="100"/>
        <v>-1254</v>
      </c>
      <c r="M1033" s="869">
        <f t="shared" si="102"/>
        <v>-0.40727508931471257</v>
      </c>
    </row>
    <row r="1034" spans="1:13" x14ac:dyDescent="0.2">
      <c r="C1034" s="340"/>
      <c r="D1034" s="207"/>
      <c r="E1034" s="207"/>
      <c r="F1034" s="207">
        <v>0</v>
      </c>
      <c r="G1034" s="599"/>
      <c r="H1034" s="207">
        <f t="shared" si="103"/>
        <v>0</v>
      </c>
      <c r="I1034" s="207">
        <v>0</v>
      </c>
      <c r="J1034" s="207">
        <f t="shared" si="99"/>
        <v>0</v>
      </c>
      <c r="K1034" s="950"/>
      <c r="L1034" s="207">
        <f t="shared" si="100"/>
        <v>0</v>
      </c>
      <c r="M1034" s="950"/>
    </row>
    <row r="1035" spans="1:13" x14ac:dyDescent="0.2">
      <c r="C1035" s="299" t="s">
        <v>329</v>
      </c>
      <c r="D1035" s="196">
        <v>50352</v>
      </c>
      <c r="E1035" s="196"/>
      <c r="F1035" s="495">
        <v>0</v>
      </c>
      <c r="G1035" s="568"/>
      <c r="H1035" s="495">
        <f t="shared" si="103"/>
        <v>50352</v>
      </c>
      <c r="I1035" s="495">
        <v>2076</v>
      </c>
      <c r="J1035" s="495">
        <f t="shared" si="99"/>
        <v>-48276</v>
      </c>
      <c r="K1035" s="888">
        <f t="shared" si="101"/>
        <v>-0.9587702573879886</v>
      </c>
      <c r="L1035" s="495">
        <f t="shared" si="100"/>
        <v>-48276</v>
      </c>
      <c r="M1035" s="888">
        <f t="shared" si="102"/>
        <v>-0.9587702573879886</v>
      </c>
    </row>
    <row r="1036" spans="1:13" s="486" customFormat="1" x14ac:dyDescent="0.2">
      <c r="A1036" s="503"/>
      <c r="B1036" s="503"/>
      <c r="C1036" s="308"/>
      <c r="D1036" s="145"/>
      <c r="E1036" s="145"/>
      <c r="F1036" s="489">
        <v>0</v>
      </c>
      <c r="G1036" s="567"/>
      <c r="H1036" s="489">
        <f t="shared" si="103"/>
        <v>0</v>
      </c>
      <c r="I1036" s="489">
        <v>0</v>
      </c>
      <c r="J1036" s="489">
        <f t="shared" si="99"/>
        <v>0</v>
      </c>
      <c r="K1036" s="869"/>
      <c r="L1036" s="489">
        <f t="shared" si="100"/>
        <v>0</v>
      </c>
      <c r="M1036" s="869"/>
    </row>
    <row r="1037" spans="1:13" s="486" customFormat="1" x14ac:dyDescent="0.2">
      <c r="A1037" s="459" t="s">
        <v>874</v>
      </c>
      <c r="B1037" s="459" t="s">
        <v>875</v>
      </c>
      <c r="C1037" s="315" t="s">
        <v>513</v>
      </c>
      <c r="D1037" s="496">
        <v>18017</v>
      </c>
      <c r="E1037" s="496"/>
      <c r="F1037" s="496">
        <v>8059</v>
      </c>
      <c r="G1037" s="613"/>
      <c r="H1037" s="496">
        <f t="shared" si="103"/>
        <v>26076</v>
      </c>
      <c r="I1037" s="496">
        <v>0</v>
      </c>
      <c r="J1037" s="496">
        <f t="shared" si="99"/>
        <v>-18017</v>
      </c>
      <c r="K1037" s="887">
        <f t="shared" si="101"/>
        <v>-1</v>
      </c>
      <c r="L1037" s="496">
        <f t="shared" si="100"/>
        <v>-26076</v>
      </c>
      <c r="M1037" s="887">
        <f t="shared" si="102"/>
        <v>-1</v>
      </c>
    </row>
    <row r="1038" spans="1:13" s="486" customFormat="1" x14ac:dyDescent="0.2">
      <c r="A1038" s="503"/>
      <c r="B1038" s="503"/>
      <c r="C1038" s="308" t="s">
        <v>119</v>
      </c>
      <c r="D1038" s="489">
        <v>8823</v>
      </c>
      <c r="E1038" s="489"/>
      <c r="F1038" s="489">
        <v>2000</v>
      </c>
      <c r="G1038" s="567"/>
      <c r="H1038" s="489">
        <f t="shared" si="103"/>
        <v>10823</v>
      </c>
      <c r="I1038" s="489">
        <v>0</v>
      </c>
      <c r="J1038" s="489">
        <f t="shared" si="99"/>
        <v>-8823</v>
      </c>
      <c r="K1038" s="869">
        <f t="shared" si="101"/>
        <v>-1</v>
      </c>
      <c r="L1038" s="489">
        <f t="shared" si="100"/>
        <v>-10823</v>
      </c>
      <c r="M1038" s="869">
        <f t="shared" si="102"/>
        <v>-1</v>
      </c>
    </row>
    <row r="1039" spans="1:13" s="486" customFormat="1" x14ac:dyDescent="0.2">
      <c r="A1039" s="503"/>
      <c r="B1039" s="503"/>
      <c r="C1039" s="339"/>
      <c r="D1039" s="208"/>
      <c r="E1039" s="208"/>
      <c r="F1039" s="208">
        <v>0</v>
      </c>
      <c r="G1039" s="648"/>
      <c r="H1039" s="208">
        <f t="shared" si="103"/>
        <v>0</v>
      </c>
      <c r="I1039" s="208">
        <v>0</v>
      </c>
      <c r="J1039" s="208">
        <f t="shared" si="99"/>
        <v>0</v>
      </c>
      <c r="K1039" s="951"/>
      <c r="L1039" s="208">
        <f t="shared" si="100"/>
        <v>0</v>
      </c>
      <c r="M1039" s="951"/>
    </row>
    <row r="1040" spans="1:13" x14ac:dyDescent="0.2">
      <c r="C1040" s="299" t="s">
        <v>329</v>
      </c>
      <c r="D1040" s="495">
        <v>18017</v>
      </c>
      <c r="E1040" s="495"/>
      <c r="F1040" s="495">
        <v>8059</v>
      </c>
      <c r="G1040" s="568"/>
      <c r="H1040" s="495">
        <f t="shared" si="103"/>
        <v>26076</v>
      </c>
      <c r="I1040" s="495">
        <v>0</v>
      </c>
      <c r="J1040" s="495">
        <f t="shared" si="99"/>
        <v>-18017</v>
      </c>
      <c r="K1040" s="888">
        <f t="shared" si="101"/>
        <v>-1</v>
      </c>
      <c r="L1040" s="495">
        <f t="shared" si="100"/>
        <v>-26076</v>
      </c>
      <c r="M1040" s="888">
        <f t="shared" si="102"/>
        <v>-1</v>
      </c>
    </row>
    <row r="1041" spans="1:13" x14ac:dyDescent="0.2">
      <c r="C1041" s="299"/>
      <c r="D1041" s="196"/>
      <c r="E1041" s="196"/>
      <c r="F1041" s="495">
        <v>0</v>
      </c>
      <c r="G1041" s="568"/>
      <c r="H1041" s="495">
        <f t="shared" si="103"/>
        <v>0</v>
      </c>
      <c r="I1041" s="495">
        <v>0</v>
      </c>
      <c r="J1041" s="495">
        <f t="shared" si="99"/>
        <v>0</v>
      </c>
      <c r="K1041" s="888"/>
      <c r="L1041" s="495">
        <f t="shared" si="100"/>
        <v>0</v>
      </c>
      <c r="M1041" s="888"/>
    </row>
    <row r="1042" spans="1:13" ht="25.5" x14ac:dyDescent="0.2">
      <c r="A1042" s="459" t="s">
        <v>874</v>
      </c>
      <c r="B1042" s="459" t="s">
        <v>875</v>
      </c>
      <c r="C1042" s="315" t="s">
        <v>615</v>
      </c>
      <c r="D1042" s="197">
        <v>96222</v>
      </c>
      <c r="E1042" s="197"/>
      <c r="F1042" s="496">
        <v>0</v>
      </c>
      <c r="G1042" s="613"/>
      <c r="H1042" s="496">
        <f t="shared" si="103"/>
        <v>96222</v>
      </c>
      <c r="I1042" s="496">
        <v>0</v>
      </c>
      <c r="J1042" s="496">
        <f t="shared" si="99"/>
        <v>-96222</v>
      </c>
      <c r="K1042" s="887">
        <f t="shared" si="101"/>
        <v>-1</v>
      </c>
      <c r="L1042" s="496">
        <f t="shared" si="100"/>
        <v>-96222</v>
      </c>
      <c r="M1042" s="887">
        <f t="shared" si="102"/>
        <v>-1</v>
      </c>
    </row>
    <row r="1043" spans="1:13" x14ac:dyDescent="0.2">
      <c r="C1043" s="308" t="s">
        <v>119</v>
      </c>
      <c r="D1043" s="489">
        <v>24435.071375186846</v>
      </c>
      <c r="E1043" s="145"/>
      <c r="F1043" s="489">
        <v>0</v>
      </c>
      <c r="G1043" s="567"/>
      <c r="H1043" s="489">
        <f t="shared" si="103"/>
        <v>24435.071375186846</v>
      </c>
      <c r="I1043" s="489">
        <v>0</v>
      </c>
      <c r="J1043" s="489">
        <f t="shared" si="99"/>
        <v>-24435.071375186846</v>
      </c>
      <c r="K1043" s="869">
        <f t="shared" si="101"/>
        <v>-1</v>
      </c>
      <c r="L1043" s="489">
        <f t="shared" si="100"/>
        <v>-24435.071375186846</v>
      </c>
      <c r="M1043" s="869">
        <f t="shared" si="102"/>
        <v>-1</v>
      </c>
    </row>
    <row r="1044" spans="1:13" x14ac:dyDescent="0.2">
      <c r="C1044" s="339"/>
      <c r="D1044" s="208"/>
      <c r="E1044" s="208"/>
      <c r="F1044" s="208">
        <v>0</v>
      </c>
      <c r="G1044" s="648"/>
      <c r="H1044" s="208">
        <f t="shared" si="103"/>
        <v>0</v>
      </c>
      <c r="I1044" s="208">
        <v>0</v>
      </c>
      <c r="J1044" s="208">
        <f t="shared" si="99"/>
        <v>0</v>
      </c>
      <c r="K1044" s="951"/>
      <c r="L1044" s="208">
        <f t="shared" si="100"/>
        <v>0</v>
      </c>
      <c r="M1044" s="951"/>
    </row>
    <row r="1045" spans="1:13" x14ac:dyDescent="0.2">
      <c r="C1045" s="299" t="s">
        <v>329</v>
      </c>
      <c r="D1045" s="196">
        <v>81789</v>
      </c>
      <c r="E1045" s="196"/>
      <c r="F1045" s="495">
        <v>0</v>
      </c>
      <c r="G1045" s="568"/>
      <c r="H1045" s="495">
        <f t="shared" si="103"/>
        <v>81789</v>
      </c>
      <c r="I1045" s="495">
        <v>0</v>
      </c>
      <c r="J1045" s="495">
        <f t="shared" si="99"/>
        <v>-81789</v>
      </c>
      <c r="K1045" s="888">
        <f t="shared" si="101"/>
        <v>-1</v>
      </c>
      <c r="L1045" s="495">
        <f t="shared" si="100"/>
        <v>-81789</v>
      </c>
      <c r="M1045" s="888">
        <f t="shared" si="102"/>
        <v>-1</v>
      </c>
    </row>
    <row r="1046" spans="1:13" x14ac:dyDescent="0.2">
      <c r="C1046" s="308"/>
      <c r="D1046" s="145"/>
      <c r="E1046" s="145"/>
      <c r="F1046" s="489">
        <v>0</v>
      </c>
      <c r="G1046" s="567"/>
      <c r="H1046" s="489">
        <f t="shared" si="103"/>
        <v>0</v>
      </c>
      <c r="I1046" s="489">
        <v>0</v>
      </c>
      <c r="J1046" s="489">
        <f t="shared" si="99"/>
        <v>0</v>
      </c>
      <c r="K1046" s="869"/>
      <c r="L1046" s="489">
        <f t="shared" si="100"/>
        <v>0</v>
      </c>
      <c r="M1046" s="869"/>
    </row>
    <row r="1047" spans="1:13" ht="38.25" x14ac:dyDescent="0.2">
      <c r="A1047" s="459" t="s">
        <v>874</v>
      </c>
      <c r="B1047" s="459" t="s">
        <v>875</v>
      </c>
      <c r="C1047" s="315" t="s">
        <v>843</v>
      </c>
      <c r="D1047" s="197">
        <v>87208</v>
      </c>
      <c r="E1047" s="197"/>
      <c r="F1047" s="496">
        <v>0</v>
      </c>
      <c r="G1047" s="613"/>
      <c r="H1047" s="496">
        <f t="shared" si="103"/>
        <v>87208</v>
      </c>
      <c r="I1047" s="496">
        <v>87208</v>
      </c>
      <c r="J1047" s="496">
        <f t="shared" si="99"/>
        <v>0</v>
      </c>
      <c r="K1047" s="887">
        <f t="shared" si="101"/>
        <v>0</v>
      </c>
      <c r="L1047" s="496">
        <f t="shared" si="100"/>
        <v>0</v>
      </c>
      <c r="M1047" s="887">
        <f t="shared" si="102"/>
        <v>0</v>
      </c>
    </row>
    <row r="1048" spans="1:13" x14ac:dyDescent="0.2">
      <c r="C1048" s="308" t="s">
        <v>119</v>
      </c>
      <c r="D1048" s="489">
        <v>46712</v>
      </c>
      <c r="E1048" s="145"/>
      <c r="F1048" s="489">
        <v>0</v>
      </c>
      <c r="G1048" s="567"/>
      <c r="H1048" s="489">
        <f t="shared" si="103"/>
        <v>46712</v>
      </c>
      <c r="I1048" s="489">
        <v>46712</v>
      </c>
      <c r="J1048" s="489">
        <f t="shared" si="99"/>
        <v>0</v>
      </c>
      <c r="K1048" s="869">
        <f t="shared" si="101"/>
        <v>0</v>
      </c>
      <c r="L1048" s="489">
        <f t="shared" si="100"/>
        <v>0</v>
      </c>
      <c r="M1048" s="869">
        <f t="shared" si="102"/>
        <v>0</v>
      </c>
    </row>
    <row r="1049" spans="1:13" x14ac:dyDescent="0.2">
      <c r="C1049" s="339"/>
      <c r="D1049" s="208"/>
      <c r="E1049" s="208"/>
      <c r="F1049" s="208">
        <v>0</v>
      </c>
      <c r="G1049" s="648"/>
      <c r="H1049" s="208">
        <f t="shared" si="103"/>
        <v>0</v>
      </c>
      <c r="I1049" s="208">
        <v>0</v>
      </c>
      <c r="J1049" s="208">
        <f t="shared" si="99"/>
        <v>0</v>
      </c>
      <c r="K1049" s="951"/>
      <c r="L1049" s="208">
        <f t="shared" si="100"/>
        <v>0</v>
      </c>
      <c r="M1049" s="951"/>
    </row>
    <row r="1050" spans="1:13" s="486" customFormat="1" x14ac:dyDescent="0.2">
      <c r="A1050" s="503"/>
      <c r="B1050" s="503"/>
      <c r="C1050" s="299" t="s">
        <v>329</v>
      </c>
      <c r="D1050" s="196">
        <v>87208</v>
      </c>
      <c r="E1050" s="196"/>
      <c r="F1050" s="495">
        <v>0</v>
      </c>
      <c r="G1050" s="568"/>
      <c r="H1050" s="495">
        <f t="shared" si="103"/>
        <v>87208</v>
      </c>
      <c r="I1050" s="495">
        <v>87208</v>
      </c>
      <c r="J1050" s="495">
        <f t="shared" si="99"/>
        <v>0</v>
      </c>
      <c r="K1050" s="888">
        <f t="shared" si="101"/>
        <v>0</v>
      </c>
      <c r="L1050" s="495">
        <f t="shared" si="100"/>
        <v>0</v>
      </c>
      <c r="M1050" s="888">
        <f t="shared" si="102"/>
        <v>0</v>
      </c>
    </row>
    <row r="1051" spans="1:13" s="486" customFormat="1" x14ac:dyDescent="0.2">
      <c r="A1051" s="503"/>
      <c r="B1051" s="503"/>
      <c r="C1051" s="308"/>
      <c r="D1051" s="489"/>
      <c r="E1051" s="489"/>
      <c r="F1051" s="489">
        <v>0</v>
      </c>
      <c r="G1051" s="567"/>
      <c r="H1051" s="489">
        <f t="shared" si="103"/>
        <v>0</v>
      </c>
      <c r="I1051" s="489">
        <v>0</v>
      </c>
      <c r="J1051" s="489">
        <f t="shared" si="99"/>
        <v>0</v>
      </c>
      <c r="K1051" s="869"/>
      <c r="L1051" s="489">
        <f t="shared" si="100"/>
        <v>0</v>
      </c>
      <c r="M1051" s="869"/>
    </row>
    <row r="1052" spans="1:13" s="486" customFormat="1" ht="51" x14ac:dyDescent="0.2">
      <c r="A1052" s="459" t="s">
        <v>874</v>
      </c>
      <c r="B1052" s="459" t="s">
        <v>875</v>
      </c>
      <c r="C1052" s="315" t="s">
        <v>912</v>
      </c>
      <c r="D1052" s="496"/>
      <c r="E1052" s="496"/>
      <c r="F1052" s="496">
        <v>64992</v>
      </c>
      <c r="G1052" s="613"/>
      <c r="H1052" s="496">
        <f t="shared" si="103"/>
        <v>64992</v>
      </c>
      <c r="I1052" s="496">
        <v>62992</v>
      </c>
      <c r="J1052" s="496">
        <f t="shared" si="99"/>
        <v>62992</v>
      </c>
      <c r="K1052" s="887"/>
      <c r="L1052" s="496">
        <f t="shared" si="100"/>
        <v>-2000</v>
      </c>
      <c r="M1052" s="887">
        <f t="shared" si="102"/>
        <v>-3.0773018217626784E-2</v>
      </c>
    </row>
    <row r="1053" spans="1:13" s="486" customFormat="1" x14ac:dyDescent="0.2">
      <c r="A1053" s="503"/>
      <c r="B1053" s="503"/>
      <c r="C1053" s="308" t="s">
        <v>119</v>
      </c>
      <c r="D1053" s="489"/>
      <c r="E1053" s="489"/>
      <c r="F1053" s="489">
        <v>36039</v>
      </c>
      <c r="G1053" s="567"/>
      <c r="H1053" s="489">
        <f t="shared" si="103"/>
        <v>36039</v>
      </c>
      <c r="I1053" s="489">
        <v>36839</v>
      </c>
      <c r="J1053" s="489">
        <f t="shared" si="99"/>
        <v>36839</v>
      </c>
      <c r="K1053" s="869"/>
      <c r="L1053" s="489">
        <f t="shared" si="100"/>
        <v>800</v>
      </c>
      <c r="M1053" s="869">
        <f t="shared" si="102"/>
        <v>2.2198174200172036E-2</v>
      </c>
    </row>
    <row r="1054" spans="1:13" s="486" customFormat="1" x14ac:dyDescent="0.2">
      <c r="A1054" s="503"/>
      <c r="B1054" s="503"/>
      <c r="C1054" s="339"/>
      <c r="D1054" s="489"/>
      <c r="E1054" s="489"/>
      <c r="F1054" s="489">
        <v>0</v>
      </c>
      <c r="G1054" s="567"/>
      <c r="H1054" s="489">
        <f t="shared" si="103"/>
        <v>0</v>
      </c>
      <c r="I1054" s="489">
        <v>0</v>
      </c>
      <c r="J1054" s="489">
        <f t="shared" si="99"/>
        <v>0</v>
      </c>
      <c r="K1054" s="869"/>
      <c r="L1054" s="489">
        <f t="shared" si="100"/>
        <v>0</v>
      </c>
      <c r="M1054" s="869"/>
    </row>
    <row r="1055" spans="1:13" x14ac:dyDescent="0.2">
      <c r="C1055" s="299" t="s">
        <v>329</v>
      </c>
      <c r="D1055" s="489"/>
      <c r="E1055" s="489"/>
      <c r="F1055" s="489">
        <v>64992</v>
      </c>
      <c r="G1055" s="567"/>
      <c r="H1055" s="489">
        <f t="shared" si="103"/>
        <v>64992</v>
      </c>
      <c r="I1055" s="489">
        <v>62992</v>
      </c>
      <c r="J1055" s="489">
        <f t="shared" si="99"/>
        <v>62992</v>
      </c>
      <c r="K1055" s="869"/>
      <c r="L1055" s="489">
        <f t="shared" si="100"/>
        <v>-2000</v>
      </c>
      <c r="M1055" s="869">
        <f t="shared" si="102"/>
        <v>-3.0773018217626784E-2</v>
      </c>
    </row>
    <row r="1056" spans="1:13" s="486" customFormat="1" x14ac:dyDescent="0.2">
      <c r="A1056" s="503"/>
      <c r="B1056" s="503"/>
      <c r="C1056" s="308"/>
      <c r="D1056" s="145"/>
      <c r="E1056" s="145"/>
      <c r="F1056" s="489">
        <v>0</v>
      </c>
      <c r="G1056" s="567"/>
      <c r="H1056" s="489">
        <f t="shared" si="103"/>
        <v>0</v>
      </c>
      <c r="I1056" s="489">
        <v>0</v>
      </c>
      <c r="J1056" s="489">
        <f t="shared" si="99"/>
        <v>0</v>
      </c>
      <c r="K1056" s="869"/>
      <c r="L1056" s="489">
        <f t="shared" si="100"/>
        <v>0</v>
      </c>
      <c r="M1056" s="869"/>
    </row>
    <row r="1057" spans="1:13" x14ac:dyDescent="0.2">
      <c r="A1057" s="459" t="s">
        <v>874</v>
      </c>
      <c r="B1057" s="459" t="s">
        <v>875</v>
      </c>
      <c r="C1057" s="307" t="s">
        <v>476</v>
      </c>
      <c r="D1057" s="493">
        <v>43737</v>
      </c>
      <c r="E1057" s="493"/>
      <c r="F1057" s="493">
        <v>-7800</v>
      </c>
      <c r="G1057" s="601"/>
      <c r="H1057" s="493">
        <f t="shared" si="103"/>
        <v>35937</v>
      </c>
      <c r="I1057" s="493">
        <v>44000</v>
      </c>
      <c r="J1057" s="493">
        <f t="shared" si="99"/>
        <v>263</v>
      </c>
      <c r="K1057" s="868">
        <f t="shared" si="101"/>
        <v>6.0132153554198963E-3</v>
      </c>
      <c r="L1057" s="493">
        <f t="shared" si="100"/>
        <v>8063</v>
      </c>
      <c r="M1057" s="868">
        <f t="shared" si="102"/>
        <v>0.2243648607284971</v>
      </c>
    </row>
    <row r="1058" spans="1:13" x14ac:dyDescent="0.2">
      <c r="C1058" s="307"/>
      <c r="D1058" s="202"/>
      <c r="E1058" s="202"/>
      <c r="F1058" s="493">
        <v>0</v>
      </c>
      <c r="G1058" s="601"/>
      <c r="H1058" s="493">
        <f t="shared" si="103"/>
        <v>0</v>
      </c>
      <c r="I1058" s="493">
        <v>0</v>
      </c>
      <c r="J1058" s="493">
        <f t="shared" si="99"/>
        <v>0</v>
      </c>
      <c r="K1058" s="868"/>
      <c r="L1058" s="493">
        <f t="shared" si="100"/>
        <v>0</v>
      </c>
      <c r="M1058" s="868"/>
    </row>
    <row r="1059" spans="1:13" x14ac:dyDescent="0.2">
      <c r="A1059" s="459" t="s">
        <v>874</v>
      </c>
      <c r="B1059" s="459" t="s">
        <v>875</v>
      </c>
      <c r="C1059" s="307" t="s">
        <v>477</v>
      </c>
      <c r="D1059" s="202">
        <v>18000</v>
      </c>
      <c r="E1059" s="202"/>
      <c r="F1059" s="493">
        <v>0</v>
      </c>
      <c r="G1059" s="601"/>
      <c r="H1059" s="493">
        <f t="shared" si="103"/>
        <v>18000</v>
      </c>
      <c r="I1059" s="493">
        <v>20000</v>
      </c>
      <c r="J1059" s="493">
        <f t="shared" si="99"/>
        <v>2000</v>
      </c>
      <c r="K1059" s="868">
        <f t="shared" si="101"/>
        <v>0.1111111111111111</v>
      </c>
      <c r="L1059" s="493">
        <f t="shared" si="100"/>
        <v>2000</v>
      </c>
      <c r="M1059" s="868">
        <f t="shared" si="102"/>
        <v>0.1111111111111111</v>
      </c>
    </row>
    <row r="1060" spans="1:13" x14ac:dyDescent="0.2">
      <c r="C1060" s="307"/>
      <c r="D1060" s="202"/>
      <c r="E1060" s="202"/>
      <c r="F1060" s="493">
        <v>0</v>
      </c>
      <c r="G1060" s="493"/>
      <c r="H1060" s="493">
        <f t="shared" si="103"/>
        <v>0</v>
      </c>
      <c r="I1060" s="493">
        <v>0</v>
      </c>
      <c r="J1060" s="493">
        <f t="shared" si="99"/>
        <v>0</v>
      </c>
      <c r="K1060" s="868"/>
      <c r="L1060" s="493">
        <f t="shared" si="100"/>
        <v>0</v>
      </c>
      <c r="M1060" s="868"/>
    </row>
    <row r="1061" spans="1:13" x14ac:dyDescent="0.2">
      <c r="C1061" s="307"/>
      <c r="D1061" s="202"/>
      <c r="E1061" s="202"/>
      <c r="F1061" s="493">
        <v>0</v>
      </c>
      <c r="G1061" s="493"/>
      <c r="H1061" s="493">
        <f t="shared" si="103"/>
        <v>0</v>
      </c>
      <c r="I1061" s="493">
        <v>0</v>
      </c>
      <c r="J1061" s="493">
        <f t="shared" si="99"/>
        <v>0</v>
      </c>
      <c r="K1061" s="868"/>
      <c r="L1061" s="493">
        <f t="shared" si="100"/>
        <v>0</v>
      </c>
      <c r="M1061" s="868"/>
    </row>
    <row r="1062" spans="1:13" ht="15.75" x14ac:dyDescent="0.2">
      <c r="C1062" s="289" t="s">
        <v>531</v>
      </c>
      <c r="D1062" s="176"/>
      <c r="E1062" s="176"/>
      <c r="F1062" s="176">
        <v>0</v>
      </c>
      <c r="G1062" s="176"/>
      <c r="H1062" s="176">
        <f t="shared" si="103"/>
        <v>0</v>
      </c>
      <c r="I1062" s="176">
        <v>0</v>
      </c>
      <c r="J1062" s="176">
        <f t="shared" si="99"/>
        <v>0</v>
      </c>
      <c r="K1062" s="906"/>
      <c r="L1062" s="176">
        <f t="shared" si="100"/>
        <v>0</v>
      </c>
      <c r="M1062" s="906"/>
    </row>
    <row r="1063" spans="1:13" x14ac:dyDescent="0.2">
      <c r="C1063" s="100"/>
      <c r="D1063" s="170"/>
      <c r="E1063" s="170"/>
      <c r="F1063" s="488">
        <v>0</v>
      </c>
      <c r="G1063" s="488"/>
      <c r="H1063" s="488">
        <f t="shared" si="103"/>
        <v>0</v>
      </c>
      <c r="I1063" s="488">
        <v>0</v>
      </c>
      <c r="J1063" s="488">
        <f t="shared" si="99"/>
        <v>0</v>
      </c>
      <c r="K1063" s="865"/>
      <c r="L1063" s="488">
        <f t="shared" si="100"/>
        <v>0</v>
      </c>
      <c r="M1063" s="865"/>
    </row>
    <row r="1064" spans="1:13" x14ac:dyDescent="0.2">
      <c r="C1064" s="100" t="s">
        <v>193</v>
      </c>
      <c r="D1064" s="170">
        <f>SUM(D1073,D1080,D1100,D1119,D1122)</f>
        <v>58288411</v>
      </c>
      <c r="E1064" s="170"/>
      <c r="F1064" s="488">
        <f>SUM(F1073,F1080,F1100,F1119,F1122)</f>
        <v>3046910</v>
      </c>
      <c r="G1064" s="570">
        <f>SUM(G1073,G1080,G1100,G1119,G1122)</f>
        <v>5963141</v>
      </c>
      <c r="H1064" s="488">
        <f t="shared" si="103"/>
        <v>67298462</v>
      </c>
      <c r="I1064" s="488">
        <v>63345331</v>
      </c>
      <c r="J1064" s="488">
        <f t="shared" si="99"/>
        <v>5056920</v>
      </c>
      <c r="K1064" s="865">
        <f t="shared" si="101"/>
        <v>8.6756868359303879E-2</v>
      </c>
      <c r="L1064" s="488">
        <f t="shared" si="100"/>
        <v>-3953131</v>
      </c>
      <c r="M1064" s="865">
        <f t="shared" si="102"/>
        <v>-5.8740287408053989E-2</v>
      </c>
    </row>
    <row r="1065" spans="1:13" x14ac:dyDescent="0.2">
      <c r="C1065" s="101" t="s">
        <v>479</v>
      </c>
      <c r="D1065" s="182">
        <v>14767950</v>
      </c>
      <c r="E1065" s="182"/>
      <c r="F1065" s="491"/>
      <c r="G1065" s="571"/>
      <c r="H1065" s="491">
        <f t="shared" si="103"/>
        <v>14767950</v>
      </c>
      <c r="I1065" s="491">
        <v>16648568</v>
      </c>
      <c r="J1065" s="491">
        <f t="shared" si="99"/>
        <v>1880618</v>
      </c>
      <c r="K1065" s="866">
        <f t="shared" si="101"/>
        <v>0.1273445535771722</v>
      </c>
      <c r="L1065" s="491">
        <f t="shared" si="100"/>
        <v>1880618</v>
      </c>
      <c r="M1065" s="866">
        <f t="shared" si="102"/>
        <v>0.1273445535771722</v>
      </c>
    </row>
    <row r="1066" spans="1:13" x14ac:dyDescent="0.2">
      <c r="C1066" s="107" t="s">
        <v>116</v>
      </c>
      <c r="D1066" s="183">
        <f>SUM(D1067:D1070)</f>
        <v>58288411</v>
      </c>
      <c r="E1066" s="183"/>
      <c r="F1066" s="183">
        <f>SUM(F1067:F1070)</f>
        <v>3046910</v>
      </c>
      <c r="G1066" s="570">
        <f>SUM(G1067:G1070)</f>
        <v>5963141</v>
      </c>
      <c r="H1066" s="183">
        <f t="shared" si="103"/>
        <v>67298462</v>
      </c>
      <c r="I1066" s="183">
        <v>63345331</v>
      </c>
      <c r="J1066" s="183">
        <f t="shared" si="99"/>
        <v>5056920</v>
      </c>
      <c r="K1066" s="528">
        <f t="shared" si="101"/>
        <v>8.6756868359303879E-2</v>
      </c>
      <c r="L1066" s="183">
        <f t="shared" si="100"/>
        <v>-3953131</v>
      </c>
      <c r="M1066" s="528">
        <f t="shared" si="102"/>
        <v>-5.8740287408053989E-2</v>
      </c>
    </row>
    <row r="1067" spans="1:13" x14ac:dyDescent="0.2">
      <c r="C1067" s="102" t="s">
        <v>117</v>
      </c>
      <c r="D1067" s="182">
        <f>'2.2 OMATULUD'!B387</f>
        <v>3463227</v>
      </c>
      <c r="E1067" s="182"/>
      <c r="F1067" s="491">
        <v>-98426</v>
      </c>
      <c r="G1067" s="571">
        <v>-43449</v>
      </c>
      <c r="H1067" s="491">
        <f t="shared" si="103"/>
        <v>3321352</v>
      </c>
      <c r="I1067" s="491">
        <v>3622320</v>
      </c>
      <c r="J1067" s="491">
        <f t="shared" si="99"/>
        <v>159093</v>
      </c>
      <c r="K1067" s="866">
        <f t="shared" si="101"/>
        <v>4.5937791545284212E-2</v>
      </c>
      <c r="L1067" s="491">
        <f t="shared" si="100"/>
        <v>300968</v>
      </c>
      <c r="M1067" s="866">
        <f t="shared" si="102"/>
        <v>9.0616110547752843E-2</v>
      </c>
    </row>
    <row r="1068" spans="1:13" s="486" customFormat="1" x14ac:dyDescent="0.2">
      <c r="A1068" s="503"/>
      <c r="B1068" s="503"/>
      <c r="C1068" s="95" t="s">
        <v>105</v>
      </c>
      <c r="D1068" s="182">
        <v>324633</v>
      </c>
      <c r="E1068" s="182"/>
      <c r="F1068" s="491">
        <v>9774</v>
      </c>
      <c r="G1068" s="571"/>
      <c r="H1068" s="491">
        <f t="shared" si="103"/>
        <v>334407</v>
      </c>
      <c r="I1068" s="491">
        <v>46306</v>
      </c>
      <c r="J1068" s="491">
        <f t="shared" si="99"/>
        <v>-278327</v>
      </c>
      <c r="K1068" s="866">
        <f t="shared" si="101"/>
        <v>-0.85735892530950331</v>
      </c>
      <c r="L1068" s="491">
        <f t="shared" si="100"/>
        <v>-288101</v>
      </c>
      <c r="M1068" s="866">
        <f t="shared" si="102"/>
        <v>-0.86152801825320646</v>
      </c>
    </row>
    <row r="1069" spans="1:13" x14ac:dyDescent="0.2">
      <c r="C1069" s="95" t="s">
        <v>676</v>
      </c>
      <c r="D1069" s="491"/>
      <c r="E1069" s="491"/>
      <c r="F1069" s="491"/>
      <c r="G1069" s="571"/>
      <c r="H1069" s="491">
        <f t="shared" si="103"/>
        <v>0</v>
      </c>
      <c r="I1069" s="491">
        <v>4393</v>
      </c>
      <c r="J1069" s="491">
        <f t="shared" si="99"/>
        <v>4393</v>
      </c>
      <c r="K1069" s="866"/>
      <c r="L1069" s="491">
        <f t="shared" si="100"/>
        <v>4393</v>
      </c>
      <c r="M1069" s="866"/>
    </row>
    <row r="1070" spans="1:13" s="6" customFormat="1" x14ac:dyDescent="0.2">
      <c r="A1070" s="503"/>
      <c r="B1070" s="503"/>
      <c r="C1070" s="95" t="s">
        <v>118</v>
      </c>
      <c r="D1070" s="182">
        <f>D1064-D1067-D1068</f>
        <v>54500551</v>
      </c>
      <c r="E1070" s="182"/>
      <c r="F1070" s="491">
        <f>F1064-F1067-F1068</f>
        <v>3135562</v>
      </c>
      <c r="G1070" s="571">
        <f>G1064-G1067-G1068</f>
        <v>6006590</v>
      </c>
      <c r="H1070" s="491">
        <f t="shared" si="103"/>
        <v>63642703</v>
      </c>
      <c r="I1070" s="491">
        <v>59672312</v>
      </c>
      <c r="J1070" s="491">
        <f t="shared" si="99"/>
        <v>5171761</v>
      </c>
      <c r="K1070" s="866">
        <f t="shared" si="101"/>
        <v>9.4893737863310776E-2</v>
      </c>
      <c r="L1070" s="491">
        <f t="shared" si="100"/>
        <v>-3970391</v>
      </c>
      <c r="M1070" s="866">
        <f t="shared" si="102"/>
        <v>-6.2385643802715295E-2</v>
      </c>
    </row>
    <row r="1071" spans="1:13" x14ac:dyDescent="0.2">
      <c r="A1071" s="459"/>
      <c r="B1071" s="459"/>
      <c r="C1071" s="473" t="s">
        <v>909</v>
      </c>
      <c r="D1071" s="474">
        <f>D1075+D1078+D1082+D1102+D1112+D1125+D1138+D1145+D1162+D1168+D1173</f>
        <v>7346066</v>
      </c>
      <c r="E1071" s="474"/>
      <c r="F1071" s="474">
        <f>F1075+F1078+F1082+F1102+F1112+F1125+F1138+F1145+F1162+F1168+F1173</f>
        <v>94406</v>
      </c>
      <c r="G1071" s="572">
        <f>G1075+G1078+G1082+G1102+G1112+G1125+G1138+G1145+G1162+G1168+G1173</f>
        <v>73468</v>
      </c>
      <c r="H1071" s="474">
        <f t="shared" si="103"/>
        <v>7513940</v>
      </c>
      <c r="I1071" s="474">
        <v>7796380</v>
      </c>
      <c r="J1071" s="474">
        <f t="shared" si="99"/>
        <v>450314</v>
      </c>
      <c r="K1071" s="867">
        <f t="shared" si="101"/>
        <v>6.1300020990826924E-2</v>
      </c>
      <c r="L1071" s="474">
        <f t="shared" si="100"/>
        <v>282440</v>
      </c>
      <c r="M1071" s="867">
        <f t="shared" si="102"/>
        <v>3.7588801614066657E-2</v>
      </c>
    </row>
    <row r="1072" spans="1:13" x14ac:dyDescent="0.2">
      <c r="C1072" s="390"/>
      <c r="D1072" s="182"/>
      <c r="E1072" s="182"/>
      <c r="F1072" s="491">
        <v>0</v>
      </c>
      <c r="G1072" s="571"/>
      <c r="H1072" s="491">
        <f t="shared" si="103"/>
        <v>0</v>
      </c>
      <c r="I1072" s="491">
        <v>0</v>
      </c>
      <c r="J1072" s="491">
        <f t="shared" si="99"/>
        <v>0</v>
      </c>
      <c r="K1072" s="866"/>
      <c r="L1072" s="491">
        <f t="shared" si="100"/>
        <v>0</v>
      </c>
      <c r="M1072" s="866"/>
    </row>
    <row r="1073" spans="1:13" ht="15" x14ac:dyDescent="0.2">
      <c r="A1073" s="459" t="s">
        <v>864</v>
      </c>
      <c r="B1073" s="459" t="s">
        <v>876</v>
      </c>
      <c r="C1073" s="291" t="s">
        <v>198</v>
      </c>
      <c r="D1073" s="192">
        <f>SUM(D1074,D1077)</f>
        <v>6923298</v>
      </c>
      <c r="E1073" s="192"/>
      <c r="F1073" s="478">
        <f>SUM(F1074,F1077)</f>
        <v>-100466</v>
      </c>
      <c r="G1073" s="569">
        <f>SUM(G1074,G1077)</f>
        <v>30572</v>
      </c>
      <c r="H1073" s="478">
        <f t="shared" si="103"/>
        <v>6853404</v>
      </c>
      <c r="I1073" s="478">
        <v>7098811</v>
      </c>
      <c r="J1073" s="478">
        <f t="shared" si="99"/>
        <v>175513</v>
      </c>
      <c r="K1073" s="908">
        <f t="shared" si="101"/>
        <v>2.5351068233665515E-2</v>
      </c>
      <c r="L1073" s="478">
        <f t="shared" si="100"/>
        <v>245407</v>
      </c>
      <c r="M1073" s="908">
        <f t="shared" si="102"/>
        <v>3.5808045169962256E-2</v>
      </c>
    </row>
    <row r="1074" spans="1:13" x14ac:dyDescent="0.2">
      <c r="C1074" s="356" t="s">
        <v>714</v>
      </c>
      <c r="D1074" s="209">
        <v>5486048</v>
      </c>
      <c r="E1074" s="209"/>
      <c r="F1074" s="209">
        <v>-115000</v>
      </c>
      <c r="G1074" s="658">
        <v>-7400</v>
      </c>
      <c r="H1074" s="209">
        <f t="shared" si="103"/>
        <v>5363648</v>
      </c>
      <c r="I1074" s="209">
        <v>5558715</v>
      </c>
      <c r="J1074" s="209">
        <f t="shared" si="99"/>
        <v>72667</v>
      </c>
      <c r="K1074" s="909">
        <f t="shared" si="101"/>
        <v>1.3245782756548977E-2</v>
      </c>
      <c r="L1074" s="209">
        <f t="shared" si="100"/>
        <v>195067</v>
      </c>
      <c r="M1074" s="909">
        <f t="shared" si="102"/>
        <v>3.636834482799766E-2</v>
      </c>
    </row>
    <row r="1075" spans="1:13" s="6" customFormat="1" x14ac:dyDescent="0.2">
      <c r="A1075" s="503"/>
      <c r="B1075" s="503"/>
      <c r="C1075" s="98" t="s">
        <v>119</v>
      </c>
      <c r="D1075" s="489">
        <v>2550778</v>
      </c>
      <c r="E1075" s="145"/>
      <c r="F1075" s="489">
        <v>0</v>
      </c>
      <c r="G1075" s="567"/>
      <c r="H1075" s="489">
        <f t="shared" si="103"/>
        <v>2550778</v>
      </c>
      <c r="I1075" s="489">
        <v>2578928</v>
      </c>
      <c r="J1075" s="489">
        <f t="shared" si="99"/>
        <v>28150</v>
      </c>
      <c r="K1075" s="869">
        <f t="shared" si="101"/>
        <v>1.1035848670484063E-2</v>
      </c>
      <c r="L1075" s="489">
        <f t="shared" si="100"/>
        <v>28150</v>
      </c>
      <c r="M1075" s="869">
        <f t="shared" si="102"/>
        <v>1.1035848670484063E-2</v>
      </c>
    </row>
    <row r="1076" spans="1:13" x14ac:dyDescent="0.2">
      <c r="A1076" s="459"/>
      <c r="B1076" s="459"/>
      <c r="C1076" s="252"/>
      <c r="D1076" s="195"/>
      <c r="E1076" s="195"/>
      <c r="F1076" s="195">
        <v>0</v>
      </c>
      <c r="G1076" s="659"/>
      <c r="H1076" s="195">
        <f t="shared" si="103"/>
        <v>0</v>
      </c>
      <c r="I1076" s="195">
        <v>0</v>
      </c>
      <c r="J1076" s="195">
        <f t="shared" si="99"/>
        <v>0</v>
      </c>
      <c r="K1076" s="922"/>
      <c r="L1076" s="195">
        <f t="shared" si="100"/>
        <v>0</v>
      </c>
      <c r="M1076" s="922"/>
    </row>
    <row r="1077" spans="1:13" x14ac:dyDescent="0.2">
      <c r="C1077" s="292" t="s">
        <v>715</v>
      </c>
      <c r="D1077" s="118">
        <v>1437250</v>
      </c>
      <c r="E1077" s="118"/>
      <c r="F1077" s="477">
        <v>14534</v>
      </c>
      <c r="G1077" s="566">
        <v>37972</v>
      </c>
      <c r="H1077" s="477">
        <f t="shared" si="103"/>
        <v>1489756</v>
      </c>
      <c r="I1077" s="477">
        <v>1540096</v>
      </c>
      <c r="J1077" s="477">
        <f t="shared" si="99"/>
        <v>102846</v>
      </c>
      <c r="K1077" s="909">
        <f t="shared" si="101"/>
        <v>7.1557488258827628E-2</v>
      </c>
      <c r="L1077" s="477">
        <f t="shared" si="100"/>
        <v>50340</v>
      </c>
      <c r="M1077" s="909">
        <f t="shared" si="102"/>
        <v>3.3790768421137422E-2</v>
      </c>
    </row>
    <row r="1078" spans="1:13" s="6" customFormat="1" x14ac:dyDescent="0.2">
      <c r="A1078" s="503"/>
      <c r="B1078" s="503"/>
      <c r="C1078" s="98" t="s">
        <v>119</v>
      </c>
      <c r="D1078" s="489">
        <v>790556</v>
      </c>
      <c r="E1078" s="145"/>
      <c r="F1078" s="489">
        <v>8340</v>
      </c>
      <c r="G1078" s="781">
        <v>4360</v>
      </c>
      <c r="H1078" s="489">
        <f t="shared" si="103"/>
        <v>803256</v>
      </c>
      <c r="I1078" s="489">
        <v>814506</v>
      </c>
      <c r="J1078" s="489">
        <f t="shared" si="99"/>
        <v>23950</v>
      </c>
      <c r="K1078" s="869">
        <f t="shared" si="101"/>
        <v>3.0295134057549369E-2</v>
      </c>
      <c r="L1078" s="489">
        <f t="shared" si="100"/>
        <v>11250</v>
      </c>
      <c r="M1078" s="869">
        <f t="shared" si="102"/>
        <v>1.4005497624667603E-2</v>
      </c>
    </row>
    <row r="1079" spans="1:13" x14ac:dyDescent="0.2">
      <c r="A1079" s="459"/>
      <c r="B1079" s="459"/>
      <c r="C1079" s="253"/>
      <c r="D1079" s="190"/>
      <c r="E1079" s="190"/>
      <c r="F1079" s="190">
        <v>0</v>
      </c>
      <c r="G1079" s="645"/>
      <c r="H1079" s="190">
        <f t="shared" si="103"/>
        <v>0</v>
      </c>
      <c r="I1079" s="190">
        <v>0</v>
      </c>
      <c r="J1079" s="190">
        <f t="shared" si="99"/>
        <v>0</v>
      </c>
      <c r="K1079" s="949"/>
      <c r="L1079" s="190">
        <f t="shared" si="100"/>
        <v>0</v>
      </c>
      <c r="M1079" s="949"/>
    </row>
    <row r="1080" spans="1:13" ht="15" x14ac:dyDescent="0.2">
      <c r="A1080" s="459" t="s">
        <v>877</v>
      </c>
      <c r="B1080" s="459" t="s">
        <v>876</v>
      </c>
      <c r="C1080" s="99" t="s">
        <v>387</v>
      </c>
      <c r="D1080" s="169">
        <f>SUM(D1081,D1095)</f>
        <v>35457462</v>
      </c>
      <c r="E1080" s="169"/>
      <c r="F1080" s="169">
        <f>SUM(F1081,F1095)</f>
        <v>2800739</v>
      </c>
      <c r="G1080" s="644">
        <f>SUM(G1081,G1095)</f>
        <v>4726819</v>
      </c>
      <c r="H1080" s="169">
        <f t="shared" si="103"/>
        <v>42985020</v>
      </c>
      <c r="I1080" s="169">
        <v>38791520</v>
      </c>
      <c r="J1080" s="169">
        <f t="shared" ref="J1080:J1143" si="104">I1080-D1080</f>
        <v>3334058</v>
      </c>
      <c r="K1080" s="921">
        <f t="shared" ref="K1080:K1142" si="105">J1080/D1080</f>
        <v>9.4029798297464162E-2</v>
      </c>
      <c r="L1080" s="169">
        <f t="shared" ref="L1080:L1143" si="106">I1080-H1080</f>
        <v>-4193500</v>
      </c>
      <c r="M1080" s="921">
        <f t="shared" ref="M1080:M1142" si="107">L1080/H1080</f>
        <v>-9.7557242034550642E-2</v>
      </c>
    </row>
    <row r="1081" spans="1:13" x14ac:dyDescent="0.2">
      <c r="C1081" s="292" t="s">
        <v>388</v>
      </c>
      <c r="D1081" s="118">
        <f>SUM(D1084,D1087,D1091,D1093)</f>
        <v>27511472</v>
      </c>
      <c r="E1081" s="118"/>
      <c r="F1081" s="477">
        <f>SUM(F1084,F1087,F1091,F1093)</f>
        <v>2734739</v>
      </c>
      <c r="G1081" s="566">
        <f>G1084+G1087+G1089+G1091+G1093</f>
        <v>2286090</v>
      </c>
      <c r="H1081" s="477">
        <f t="shared" si="103"/>
        <v>32532301</v>
      </c>
      <c r="I1081" s="477">
        <v>29466020</v>
      </c>
      <c r="J1081" s="477">
        <f t="shared" si="104"/>
        <v>1954548</v>
      </c>
      <c r="K1081" s="909">
        <f t="shared" si="105"/>
        <v>7.1044835405390153E-2</v>
      </c>
      <c r="L1081" s="477">
        <f t="shared" si="106"/>
        <v>-3066281</v>
      </c>
      <c r="M1081" s="909">
        <f t="shared" si="107"/>
        <v>-9.425343138193637E-2</v>
      </c>
    </row>
    <row r="1082" spans="1:13" x14ac:dyDescent="0.2">
      <c r="C1082" s="98" t="s">
        <v>119</v>
      </c>
      <c r="D1082" s="489">
        <f>SUM(D1088)</f>
        <v>538492</v>
      </c>
      <c r="E1082" s="145"/>
      <c r="F1082" s="489">
        <f>SUM(F1088)</f>
        <v>0</v>
      </c>
      <c r="G1082" s="567"/>
      <c r="H1082" s="489">
        <f t="shared" si="103"/>
        <v>538492</v>
      </c>
      <c r="I1082" s="489">
        <v>538492</v>
      </c>
      <c r="J1082" s="489">
        <f t="shared" si="104"/>
        <v>0</v>
      </c>
      <c r="K1082" s="869">
        <f t="shared" si="105"/>
        <v>0</v>
      </c>
      <c r="L1082" s="489">
        <f t="shared" si="106"/>
        <v>0</v>
      </c>
      <c r="M1082" s="869">
        <f t="shared" si="107"/>
        <v>0</v>
      </c>
    </row>
    <row r="1083" spans="1:13" x14ac:dyDescent="0.2">
      <c r="C1083" s="105" t="s">
        <v>196</v>
      </c>
      <c r="D1083" s="118"/>
      <c r="E1083" s="118"/>
      <c r="F1083" s="477">
        <v>0</v>
      </c>
      <c r="G1083" s="566"/>
      <c r="H1083" s="477">
        <f t="shared" si="103"/>
        <v>0</v>
      </c>
      <c r="I1083" s="477">
        <v>0</v>
      </c>
      <c r="J1083" s="477">
        <f t="shared" si="104"/>
        <v>0</v>
      </c>
      <c r="K1083" s="909"/>
      <c r="L1083" s="477">
        <f t="shared" si="106"/>
        <v>0</v>
      </c>
      <c r="M1083" s="909"/>
    </row>
    <row r="1084" spans="1:13" s="6" customFormat="1" x14ac:dyDescent="0.2">
      <c r="A1084" s="503"/>
      <c r="B1084" s="503"/>
      <c r="C1084" s="106" t="s">
        <v>389</v>
      </c>
      <c r="D1084" s="194">
        <v>10707015</v>
      </c>
      <c r="E1084" s="194"/>
      <c r="F1084" s="194">
        <v>1270000</v>
      </c>
      <c r="G1084" s="194"/>
      <c r="H1084" s="194">
        <f t="shared" si="103"/>
        <v>11977015</v>
      </c>
      <c r="I1084" s="194">
        <v>10707015</v>
      </c>
      <c r="J1084" s="194">
        <f t="shared" si="104"/>
        <v>0</v>
      </c>
      <c r="K1084" s="887">
        <f t="shared" si="105"/>
        <v>0</v>
      </c>
      <c r="L1084" s="194">
        <f t="shared" si="106"/>
        <v>-1270000</v>
      </c>
      <c r="M1084" s="887">
        <f t="shared" si="107"/>
        <v>-0.10603643729259753</v>
      </c>
    </row>
    <row r="1085" spans="1:13" x14ac:dyDescent="0.2">
      <c r="A1085" s="459"/>
      <c r="B1085" s="459"/>
      <c r="C1085" s="253"/>
      <c r="D1085" s="190"/>
      <c r="E1085" s="190"/>
      <c r="F1085" s="190">
        <v>0</v>
      </c>
      <c r="G1085" s="645"/>
      <c r="H1085" s="190">
        <f t="shared" si="103"/>
        <v>0</v>
      </c>
      <c r="I1085" s="190">
        <v>0</v>
      </c>
      <c r="J1085" s="190">
        <f t="shared" si="104"/>
        <v>0</v>
      </c>
      <c r="K1085" s="949"/>
      <c r="L1085" s="190">
        <f t="shared" si="106"/>
        <v>0</v>
      </c>
      <c r="M1085" s="949"/>
    </row>
    <row r="1086" spans="1:13" x14ac:dyDescent="0.2">
      <c r="C1086" s="105" t="s">
        <v>196</v>
      </c>
      <c r="D1086" s="118"/>
      <c r="E1086" s="118"/>
      <c r="F1086" s="477">
        <v>0</v>
      </c>
      <c r="G1086" s="566"/>
      <c r="H1086" s="477">
        <f t="shared" ref="H1086:H1149" si="108">D1086+E1086+F1086+G1086</f>
        <v>0</v>
      </c>
      <c r="I1086" s="477">
        <v>0</v>
      </c>
      <c r="J1086" s="477">
        <f t="shared" si="104"/>
        <v>0</v>
      </c>
      <c r="K1086" s="909"/>
      <c r="L1086" s="477">
        <f t="shared" si="106"/>
        <v>0</v>
      </c>
      <c r="M1086" s="909"/>
    </row>
    <row r="1087" spans="1:13" x14ac:dyDescent="0.2">
      <c r="C1087" s="106" t="s">
        <v>554</v>
      </c>
      <c r="D1087" s="194">
        <v>16192457</v>
      </c>
      <c r="E1087" s="194"/>
      <c r="F1087" s="194">
        <v>0</v>
      </c>
      <c r="G1087" s="194">
        <f>10000+40000+4500+20000+1704405+106185</f>
        <v>1885090</v>
      </c>
      <c r="H1087" s="194">
        <f t="shared" si="108"/>
        <v>18077547</v>
      </c>
      <c r="I1087" s="194">
        <v>17592005</v>
      </c>
      <c r="J1087" s="194">
        <f t="shared" si="104"/>
        <v>1399548</v>
      </c>
      <c r="K1087" s="887">
        <f t="shared" si="105"/>
        <v>8.6432096129697919E-2</v>
      </c>
      <c r="L1087" s="194">
        <f t="shared" si="106"/>
        <v>-485542</v>
      </c>
      <c r="M1087" s="887">
        <f t="shared" si="107"/>
        <v>-2.6858843182650832E-2</v>
      </c>
    </row>
    <row r="1088" spans="1:13" s="65" customFormat="1" x14ac:dyDescent="0.2">
      <c r="A1088" s="503"/>
      <c r="B1088" s="503"/>
      <c r="C1088" s="103" t="s">
        <v>119</v>
      </c>
      <c r="D1088" s="489">
        <v>538492</v>
      </c>
      <c r="E1088" s="145"/>
      <c r="F1088" s="489">
        <v>0</v>
      </c>
      <c r="G1088" s="567"/>
      <c r="H1088" s="489">
        <f t="shared" si="108"/>
        <v>538492</v>
      </c>
      <c r="I1088" s="489">
        <v>538492</v>
      </c>
      <c r="J1088" s="489">
        <f t="shared" si="104"/>
        <v>0</v>
      </c>
      <c r="K1088" s="869">
        <f t="shared" si="105"/>
        <v>0</v>
      </c>
      <c r="L1088" s="489">
        <f t="shared" si="106"/>
        <v>0</v>
      </c>
      <c r="M1088" s="869">
        <f t="shared" si="107"/>
        <v>0</v>
      </c>
    </row>
    <row r="1089" spans="1:13" x14ac:dyDescent="0.2">
      <c r="A1089" s="65"/>
      <c r="B1089" s="65"/>
      <c r="C1089" s="288"/>
      <c r="D1089" s="190"/>
      <c r="E1089" s="190"/>
      <c r="F1089" s="190">
        <v>0</v>
      </c>
      <c r="G1089" s="645"/>
      <c r="H1089" s="190">
        <f t="shared" si="108"/>
        <v>0</v>
      </c>
      <c r="I1089" s="190">
        <v>0</v>
      </c>
      <c r="J1089" s="190">
        <f t="shared" si="104"/>
        <v>0</v>
      </c>
      <c r="K1089" s="949"/>
      <c r="L1089" s="190">
        <f t="shared" si="106"/>
        <v>0</v>
      </c>
      <c r="M1089" s="949"/>
    </row>
    <row r="1090" spans="1:13" x14ac:dyDescent="0.2">
      <c r="C1090" s="105" t="s">
        <v>789</v>
      </c>
      <c r="D1090" s="118"/>
      <c r="E1090" s="118"/>
      <c r="F1090" s="477">
        <v>0</v>
      </c>
      <c r="G1090" s="566"/>
      <c r="H1090" s="477">
        <f t="shared" si="108"/>
        <v>0</v>
      </c>
      <c r="I1090" s="477">
        <v>0</v>
      </c>
      <c r="J1090" s="477">
        <f t="shared" si="104"/>
        <v>0</v>
      </c>
      <c r="K1090" s="909"/>
      <c r="L1090" s="477">
        <f t="shared" si="106"/>
        <v>0</v>
      </c>
      <c r="M1090" s="909"/>
    </row>
    <row r="1091" spans="1:13" x14ac:dyDescent="0.2">
      <c r="C1091" s="106" t="s">
        <v>390</v>
      </c>
      <c r="D1091" s="194">
        <v>112000</v>
      </c>
      <c r="E1091" s="194"/>
      <c r="F1091" s="194">
        <v>15000</v>
      </c>
      <c r="G1091" s="194">
        <v>-10000</v>
      </c>
      <c r="H1091" s="194">
        <f t="shared" si="108"/>
        <v>117000</v>
      </c>
      <c r="I1091" s="194">
        <v>167000</v>
      </c>
      <c r="J1091" s="194">
        <f t="shared" si="104"/>
        <v>55000</v>
      </c>
      <c r="K1091" s="887">
        <f t="shared" si="105"/>
        <v>0.49107142857142855</v>
      </c>
      <c r="L1091" s="194">
        <f t="shared" si="106"/>
        <v>50000</v>
      </c>
      <c r="M1091" s="887">
        <f t="shared" si="107"/>
        <v>0.42735042735042733</v>
      </c>
    </row>
    <row r="1092" spans="1:13" x14ac:dyDescent="0.2">
      <c r="C1092" s="106"/>
      <c r="D1092" s="194"/>
      <c r="E1092" s="194"/>
      <c r="F1092" s="194">
        <v>0</v>
      </c>
      <c r="G1092" s="194"/>
      <c r="H1092" s="194">
        <f t="shared" si="108"/>
        <v>0</v>
      </c>
      <c r="I1092" s="194">
        <v>0</v>
      </c>
      <c r="J1092" s="194">
        <f t="shared" si="104"/>
        <v>0</v>
      </c>
      <c r="K1092" s="887"/>
      <c r="L1092" s="194">
        <f t="shared" si="106"/>
        <v>0</v>
      </c>
      <c r="M1092" s="887"/>
    </row>
    <row r="1093" spans="1:13" ht="25.5" x14ac:dyDescent="0.2">
      <c r="C1093" s="106" t="s">
        <v>587</v>
      </c>
      <c r="D1093" s="194">
        <v>500000</v>
      </c>
      <c r="E1093" s="194"/>
      <c r="F1093" s="194">
        <v>1449739</v>
      </c>
      <c r="G1093" s="194">
        <f>300000+111000</f>
        <v>411000</v>
      </c>
      <c r="H1093" s="194">
        <f t="shared" si="108"/>
        <v>2360739</v>
      </c>
      <c r="I1093" s="194">
        <v>1000000</v>
      </c>
      <c r="J1093" s="194">
        <f t="shared" si="104"/>
        <v>500000</v>
      </c>
      <c r="K1093" s="887">
        <f t="shared" si="105"/>
        <v>1</v>
      </c>
      <c r="L1093" s="194">
        <f t="shared" si="106"/>
        <v>-1360739</v>
      </c>
      <c r="M1093" s="887">
        <f t="shared" si="107"/>
        <v>-0.57640382947881996</v>
      </c>
    </row>
    <row r="1094" spans="1:13" x14ac:dyDescent="0.2">
      <c r="C1094" s="315"/>
      <c r="D1094" s="197"/>
      <c r="E1094" s="197"/>
      <c r="F1094" s="496">
        <v>0</v>
      </c>
      <c r="G1094" s="613"/>
      <c r="H1094" s="496">
        <f t="shared" si="108"/>
        <v>0</v>
      </c>
      <c r="I1094" s="496">
        <v>0</v>
      </c>
      <c r="J1094" s="496">
        <f t="shared" si="104"/>
        <v>0</v>
      </c>
      <c r="K1094" s="887"/>
      <c r="L1094" s="496">
        <f t="shared" si="106"/>
        <v>0</v>
      </c>
      <c r="M1094" s="887"/>
    </row>
    <row r="1095" spans="1:13" x14ac:dyDescent="0.2">
      <c r="C1095" s="292" t="s">
        <v>391</v>
      </c>
      <c r="D1095" s="118">
        <v>7945990</v>
      </c>
      <c r="E1095" s="118"/>
      <c r="F1095" s="477">
        <v>66000</v>
      </c>
      <c r="G1095" s="566">
        <f>605280+1810449+25000</f>
        <v>2440729</v>
      </c>
      <c r="H1095" s="477">
        <f t="shared" si="108"/>
        <v>10452719</v>
      </c>
      <c r="I1095" s="477">
        <v>9325500</v>
      </c>
      <c r="J1095" s="477">
        <f t="shared" si="104"/>
        <v>1379510</v>
      </c>
      <c r="K1095" s="909">
        <f t="shared" si="105"/>
        <v>0.17361084018479761</v>
      </c>
      <c r="L1095" s="477">
        <f t="shared" si="106"/>
        <v>-1127219</v>
      </c>
      <c r="M1095" s="909">
        <f t="shared" si="107"/>
        <v>-0.10783978790590276</v>
      </c>
    </row>
    <row r="1096" spans="1:13" s="6" customFormat="1" x14ac:dyDescent="0.2">
      <c r="A1096" s="503"/>
      <c r="B1096" s="503"/>
      <c r="C1096" s="98" t="s">
        <v>576</v>
      </c>
      <c r="D1096" s="145">
        <v>485000</v>
      </c>
      <c r="E1096" s="145"/>
      <c r="F1096" s="489">
        <v>0</v>
      </c>
      <c r="G1096" s="760">
        <f>819239+25000</f>
        <v>844239</v>
      </c>
      <c r="H1096" s="489">
        <f t="shared" si="108"/>
        <v>1329239</v>
      </c>
      <c r="I1096" s="489">
        <v>1330000</v>
      </c>
      <c r="J1096" s="489">
        <f t="shared" si="104"/>
        <v>845000</v>
      </c>
      <c r="K1096" s="869">
        <f t="shared" si="105"/>
        <v>1.7422680412371134</v>
      </c>
      <c r="L1096" s="489">
        <f t="shared" si="106"/>
        <v>761</v>
      </c>
      <c r="M1096" s="869">
        <f t="shared" si="107"/>
        <v>5.7250802903014428E-4</v>
      </c>
    </row>
    <row r="1097" spans="1:13" x14ac:dyDescent="0.2">
      <c r="A1097" s="459"/>
      <c r="B1097" s="459"/>
      <c r="C1097" s="388"/>
      <c r="D1097" s="191"/>
      <c r="E1097" s="191"/>
      <c r="F1097" s="191">
        <v>0</v>
      </c>
      <c r="G1097" s="660"/>
      <c r="H1097" s="191">
        <f t="shared" si="108"/>
        <v>0</v>
      </c>
      <c r="I1097" s="191">
        <v>0</v>
      </c>
      <c r="J1097" s="191">
        <f t="shared" si="104"/>
        <v>0</v>
      </c>
      <c r="K1097" s="952"/>
      <c r="L1097" s="191">
        <f t="shared" si="106"/>
        <v>0</v>
      </c>
      <c r="M1097" s="952"/>
    </row>
    <row r="1098" spans="1:13" ht="22.5" x14ac:dyDescent="0.2">
      <c r="C1098" s="395" t="s">
        <v>392</v>
      </c>
      <c r="D1098" s="198"/>
      <c r="E1098" s="198"/>
      <c r="F1098" s="198">
        <v>0</v>
      </c>
      <c r="G1098" s="607"/>
      <c r="H1098" s="198">
        <f t="shared" si="108"/>
        <v>0</v>
      </c>
      <c r="I1098" s="198">
        <v>0</v>
      </c>
      <c r="J1098" s="198">
        <f t="shared" si="104"/>
        <v>0</v>
      </c>
      <c r="K1098" s="915"/>
      <c r="L1098" s="198">
        <f t="shared" si="106"/>
        <v>0</v>
      </c>
      <c r="M1098" s="915"/>
    </row>
    <row r="1099" spans="1:13" x14ac:dyDescent="0.2">
      <c r="C1099" s="395"/>
      <c r="D1099" s="198"/>
      <c r="E1099" s="198"/>
      <c r="F1099" s="198">
        <v>0</v>
      </c>
      <c r="G1099" s="607"/>
      <c r="H1099" s="198">
        <f t="shared" si="108"/>
        <v>0</v>
      </c>
      <c r="I1099" s="198">
        <v>0</v>
      </c>
      <c r="J1099" s="198">
        <f t="shared" si="104"/>
        <v>0</v>
      </c>
      <c r="K1099" s="915"/>
      <c r="L1099" s="198">
        <f t="shared" si="106"/>
        <v>0</v>
      </c>
      <c r="M1099" s="915"/>
    </row>
    <row r="1100" spans="1:13" ht="15" x14ac:dyDescent="0.2">
      <c r="A1100" s="459" t="s">
        <v>870</v>
      </c>
      <c r="B1100" s="459" t="s">
        <v>876</v>
      </c>
      <c r="C1100" s="99" t="s">
        <v>267</v>
      </c>
      <c r="D1100" s="169">
        <f>SUM(D1101,D1111,D1117)</f>
        <v>4253997</v>
      </c>
      <c r="E1100" s="169"/>
      <c r="F1100" s="169">
        <f>SUM(F1101,F1111,F1117)</f>
        <v>315624</v>
      </c>
      <c r="G1100" s="644">
        <f>SUM(G1101,G1111,G1117)</f>
        <v>202888</v>
      </c>
      <c r="H1100" s="169">
        <f t="shared" si="108"/>
        <v>4772509</v>
      </c>
      <c r="I1100" s="169">
        <v>4957699</v>
      </c>
      <c r="J1100" s="169">
        <f t="shared" si="104"/>
        <v>703702</v>
      </c>
      <c r="K1100" s="921">
        <f t="shared" si="105"/>
        <v>0.16542136724591014</v>
      </c>
      <c r="L1100" s="169">
        <f t="shared" si="106"/>
        <v>185190</v>
      </c>
      <c r="M1100" s="921">
        <f t="shared" si="107"/>
        <v>3.8803488898606582E-2</v>
      </c>
    </row>
    <row r="1101" spans="1:13" x14ac:dyDescent="0.2">
      <c r="C1101" s="292" t="s">
        <v>268</v>
      </c>
      <c r="D1101" s="118">
        <f>D1104+D1109</f>
        <v>2099670</v>
      </c>
      <c r="E1101" s="118"/>
      <c r="F1101" s="477">
        <f>F1104+F1109</f>
        <v>315624</v>
      </c>
      <c r="G1101" s="566">
        <f>G1104+G1109</f>
        <v>190446</v>
      </c>
      <c r="H1101" s="477">
        <f t="shared" si="108"/>
        <v>2605740</v>
      </c>
      <c r="I1101" s="477">
        <v>2728892</v>
      </c>
      <c r="J1101" s="477">
        <f t="shared" si="104"/>
        <v>629222</v>
      </c>
      <c r="K1101" s="909">
        <f t="shared" si="105"/>
        <v>0.29967661584915722</v>
      </c>
      <c r="L1101" s="477">
        <f t="shared" si="106"/>
        <v>123152</v>
      </c>
      <c r="M1101" s="909">
        <f t="shared" si="107"/>
        <v>4.7261814302271138E-2</v>
      </c>
    </row>
    <row r="1102" spans="1:13" x14ac:dyDescent="0.2">
      <c r="C1102" s="98" t="s">
        <v>119</v>
      </c>
      <c r="D1102" s="489">
        <f>D1105</f>
        <v>505417</v>
      </c>
      <c r="E1102" s="145"/>
      <c r="F1102" s="489">
        <f>F1105</f>
        <v>90000</v>
      </c>
      <c r="G1102" s="781">
        <f>G1105</f>
        <v>45000</v>
      </c>
      <c r="H1102" s="489">
        <f t="shared" si="108"/>
        <v>640417</v>
      </c>
      <c r="I1102" s="489">
        <v>568281</v>
      </c>
      <c r="J1102" s="489">
        <f t="shared" si="104"/>
        <v>62864</v>
      </c>
      <c r="K1102" s="869">
        <f t="shared" si="105"/>
        <v>0.12438046207389146</v>
      </c>
      <c r="L1102" s="489">
        <f t="shared" si="106"/>
        <v>-72136</v>
      </c>
      <c r="M1102" s="869">
        <f t="shared" si="107"/>
        <v>-0.11263910858081531</v>
      </c>
    </row>
    <row r="1103" spans="1:13" x14ac:dyDescent="0.2">
      <c r="C1103" s="105" t="s">
        <v>196</v>
      </c>
      <c r="D1103" s="118"/>
      <c r="E1103" s="118"/>
      <c r="F1103" s="477">
        <v>0</v>
      </c>
      <c r="G1103" s="566"/>
      <c r="H1103" s="477">
        <f t="shared" si="108"/>
        <v>0</v>
      </c>
      <c r="I1103" s="477">
        <v>0</v>
      </c>
      <c r="J1103" s="477">
        <f t="shared" si="104"/>
        <v>0</v>
      </c>
      <c r="K1103" s="909"/>
      <c r="L1103" s="477">
        <f t="shared" si="106"/>
        <v>0</v>
      </c>
      <c r="M1103" s="909"/>
    </row>
    <row r="1104" spans="1:13" x14ac:dyDescent="0.2">
      <c r="C1104" s="106" t="s">
        <v>401</v>
      </c>
      <c r="D1104" s="194">
        <v>1999670</v>
      </c>
      <c r="E1104" s="194"/>
      <c r="F1104" s="194">
        <v>323968</v>
      </c>
      <c r="G1104" s="194">
        <f>90456+180000-8738-9480-9480+27698+11646</f>
        <v>282102</v>
      </c>
      <c r="H1104" s="194">
        <f t="shared" si="108"/>
        <v>2605740</v>
      </c>
      <c r="I1104" s="194">
        <v>2628892</v>
      </c>
      <c r="J1104" s="194">
        <f t="shared" si="104"/>
        <v>629222</v>
      </c>
      <c r="K1104" s="887">
        <f t="shared" si="105"/>
        <v>0.31466291938169799</v>
      </c>
      <c r="L1104" s="194">
        <f t="shared" si="106"/>
        <v>23152</v>
      </c>
      <c r="M1104" s="887">
        <f t="shared" si="107"/>
        <v>8.8850000383768144E-3</v>
      </c>
    </row>
    <row r="1105" spans="1:13" x14ac:dyDescent="0.2">
      <c r="C1105" s="103" t="s">
        <v>119</v>
      </c>
      <c r="D1105" s="489">
        <v>505417</v>
      </c>
      <c r="E1105" s="145"/>
      <c r="F1105" s="489">
        <v>90000</v>
      </c>
      <c r="G1105" s="781">
        <v>45000</v>
      </c>
      <c r="H1105" s="489">
        <f t="shared" si="108"/>
        <v>640417</v>
      </c>
      <c r="I1105" s="489">
        <v>568281</v>
      </c>
      <c r="J1105" s="489">
        <f t="shared" si="104"/>
        <v>62864</v>
      </c>
      <c r="K1105" s="869">
        <f t="shared" si="105"/>
        <v>0.12438046207389146</v>
      </c>
      <c r="L1105" s="489">
        <f t="shared" si="106"/>
        <v>-72136</v>
      </c>
      <c r="M1105" s="869">
        <f t="shared" si="107"/>
        <v>-0.11263910858081531</v>
      </c>
    </row>
    <row r="1106" spans="1:13" s="6" customFormat="1" x14ac:dyDescent="0.2">
      <c r="A1106" s="503"/>
      <c r="B1106" s="503"/>
      <c r="C1106" s="397" t="s">
        <v>555</v>
      </c>
      <c r="D1106" s="210">
        <f>1197615+86130</f>
        <v>1283745</v>
      </c>
      <c r="E1106" s="210"/>
      <c r="F1106" s="210">
        <v>120420</v>
      </c>
      <c r="G1106" s="210">
        <f>60210+119790+11548-8738-9480-9480+27698</f>
        <v>191548</v>
      </c>
      <c r="H1106" s="210">
        <f t="shared" si="108"/>
        <v>1595713</v>
      </c>
      <c r="I1106" s="210">
        <v>1508087</v>
      </c>
      <c r="J1106" s="210">
        <f t="shared" si="104"/>
        <v>224342</v>
      </c>
      <c r="K1106" s="915">
        <f t="shared" si="105"/>
        <v>0.17475588999372929</v>
      </c>
      <c r="L1106" s="210">
        <f t="shared" si="106"/>
        <v>-87626</v>
      </c>
      <c r="M1106" s="915">
        <f t="shared" si="107"/>
        <v>-5.4913383547041353E-2</v>
      </c>
    </row>
    <row r="1107" spans="1:13" x14ac:dyDescent="0.2">
      <c r="A1107" s="459"/>
      <c r="B1107" s="459"/>
      <c r="C1107" s="311"/>
      <c r="D1107" s="201"/>
      <c r="E1107" s="201"/>
      <c r="F1107" s="490">
        <v>0</v>
      </c>
      <c r="G1107" s="612"/>
      <c r="H1107" s="490">
        <f t="shared" si="108"/>
        <v>0</v>
      </c>
      <c r="I1107" s="490">
        <v>0</v>
      </c>
      <c r="J1107" s="490">
        <f t="shared" si="104"/>
        <v>0</v>
      </c>
      <c r="K1107" s="914"/>
      <c r="L1107" s="490">
        <f t="shared" si="106"/>
        <v>0</v>
      </c>
      <c r="M1107" s="914"/>
    </row>
    <row r="1108" spans="1:13" x14ac:dyDescent="0.2">
      <c r="C1108" s="105" t="s">
        <v>790</v>
      </c>
      <c r="D1108" s="118"/>
      <c r="E1108" s="118"/>
      <c r="F1108" s="477">
        <v>0</v>
      </c>
      <c r="G1108" s="566"/>
      <c r="H1108" s="477">
        <f t="shared" si="108"/>
        <v>0</v>
      </c>
      <c r="I1108" s="477">
        <v>0</v>
      </c>
      <c r="J1108" s="477">
        <f t="shared" si="104"/>
        <v>0</v>
      </c>
      <c r="K1108" s="909"/>
      <c r="L1108" s="477">
        <f t="shared" si="106"/>
        <v>0</v>
      </c>
      <c r="M1108" s="909"/>
    </row>
    <row r="1109" spans="1:13" x14ac:dyDescent="0.2">
      <c r="C1109" s="300" t="s">
        <v>402</v>
      </c>
      <c r="D1109" s="171">
        <v>100000</v>
      </c>
      <c r="E1109" s="171"/>
      <c r="F1109" s="480">
        <v>-8344</v>
      </c>
      <c r="G1109" s="480">
        <v>-91656</v>
      </c>
      <c r="H1109" s="480">
        <f t="shared" si="108"/>
        <v>0</v>
      </c>
      <c r="I1109" s="480">
        <v>100000</v>
      </c>
      <c r="J1109" s="480">
        <f t="shared" si="104"/>
        <v>0</v>
      </c>
      <c r="K1109" s="868">
        <f t="shared" si="105"/>
        <v>0</v>
      </c>
      <c r="L1109" s="480">
        <f t="shared" si="106"/>
        <v>100000</v>
      </c>
      <c r="M1109" s="868"/>
    </row>
    <row r="1110" spans="1:13" x14ac:dyDescent="0.2">
      <c r="C1110" s="398"/>
      <c r="D1110" s="211"/>
      <c r="E1110" s="211"/>
      <c r="F1110" s="211">
        <v>0</v>
      </c>
      <c r="G1110" s="661"/>
      <c r="H1110" s="211">
        <f t="shared" si="108"/>
        <v>0</v>
      </c>
      <c r="I1110" s="211">
        <v>0</v>
      </c>
      <c r="J1110" s="211">
        <f t="shared" si="104"/>
        <v>0</v>
      </c>
      <c r="K1110" s="909"/>
      <c r="L1110" s="211">
        <f t="shared" si="106"/>
        <v>0</v>
      </c>
      <c r="M1110" s="909"/>
    </row>
    <row r="1111" spans="1:13" x14ac:dyDescent="0.2">
      <c r="C1111" s="292" t="s">
        <v>403</v>
      </c>
      <c r="D1111" s="118">
        <v>1744282</v>
      </c>
      <c r="E1111" s="118"/>
      <c r="F1111" s="477">
        <v>10000</v>
      </c>
      <c r="G1111" s="566">
        <f>G1114</f>
        <v>12442</v>
      </c>
      <c r="H1111" s="477">
        <f t="shared" si="108"/>
        <v>1766724</v>
      </c>
      <c r="I1111" s="477">
        <v>1828762</v>
      </c>
      <c r="J1111" s="477">
        <f t="shared" si="104"/>
        <v>84480</v>
      </c>
      <c r="K1111" s="909">
        <f t="shared" si="105"/>
        <v>4.8432535564776794E-2</v>
      </c>
      <c r="L1111" s="477">
        <f t="shared" si="106"/>
        <v>62038</v>
      </c>
      <c r="M1111" s="909">
        <f t="shared" si="107"/>
        <v>3.5114709484899732E-2</v>
      </c>
    </row>
    <row r="1112" spans="1:13" x14ac:dyDescent="0.2">
      <c r="C1112" s="98" t="s">
        <v>119</v>
      </c>
      <c r="D1112" s="489">
        <f>D1115</f>
        <v>710340</v>
      </c>
      <c r="E1112" s="145"/>
      <c r="F1112" s="489">
        <v>0</v>
      </c>
      <c r="G1112" s="781">
        <f t="shared" ref="G1112" si="109">G1115</f>
        <v>30000</v>
      </c>
      <c r="H1112" s="489">
        <f t="shared" si="108"/>
        <v>740340</v>
      </c>
      <c r="I1112" s="489">
        <v>713640</v>
      </c>
      <c r="J1112" s="489">
        <f t="shared" si="104"/>
        <v>3300</v>
      </c>
      <c r="K1112" s="869">
        <f t="shared" si="105"/>
        <v>4.6456626404257116E-3</v>
      </c>
      <c r="L1112" s="489">
        <f t="shared" si="106"/>
        <v>-26700</v>
      </c>
      <c r="M1112" s="869">
        <f t="shared" si="107"/>
        <v>-3.6064510900397112E-2</v>
      </c>
    </row>
    <row r="1113" spans="1:13" x14ac:dyDescent="0.2">
      <c r="C1113" s="105" t="s">
        <v>196</v>
      </c>
      <c r="D1113" s="118"/>
      <c r="E1113" s="118"/>
      <c r="F1113" s="477">
        <v>0</v>
      </c>
      <c r="G1113" s="566"/>
      <c r="H1113" s="477">
        <f t="shared" si="108"/>
        <v>0</v>
      </c>
      <c r="I1113" s="477">
        <v>0</v>
      </c>
      <c r="J1113" s="477">
        <f t="shared" si="104"/>
        <v>0</v>
      </c>
      <c r="K1113" s="909"/>
      <c r="L1113" s="477">
        <f t="shared" si="106"/>
        <v>0</v>
      </c>
      <c r="M1113" s="909"/>
    </row>
    <row r="1114" spans="1:13" x14ac:dyDescent="0.2">
      <c r="C1114" s="106" t="s">
        <v>764</v>
      </c>
      <c r="D1114" s="194">
        <v>1744282</v>
      </c>
      <c r="E1114" s="194"/>
      <c r="F1114" s="194">
        <v>10000</v>
      </c>
      <c r="G1114" s="194">
        <f>40140-27698</f>
        <v>12442</v>
      </c>
      <c r="H1114" s="194">
        <f t="shared" si="108"/>
        <v>1766724</v>
      </c>
      <c r="I1114" s="194">
        <v>1828762</v>
      </c>
      <c r="J1114" s="194">
        <f t="shared" si="104"/>
        <v>84480</v>
      </c>
      <c r="K1114" s="887">
        <f t="shared" si="105"/>
        <v>4.8432535564776794E-2</v>
      </c>
      <c r="L1114" s="194">
        <f t="shared" si="106"/>
        <v>62038</v>
      </c>
      <c r="M1114" s="887">
        <f t="shared" si="107"/>
        <v>3.5114709484899732E-2</v>
      </c>
    </row>
    <row r="1115" spans="1:13" s="6" customFormat="1" x14ac:dyDescent="0.2">
      <c r="A1115" s="503"/>
      <c r="B1115" s="503"/>
      <c r="C1115" s="103" t="s">
        <v>119</v>
      </c>
      <c r="D1115" s="489">
        <v>710340</v>
      </c>
      <c r="E1115" s="145"/>
      <c r="F1115" s="489">
        <v>0</v>
      </c>
      <c r="G1115" s="781">
        <v>30000</v>
      </c>
      <c r="H1115" s="489">
        <f t="shared" si="108"/>
        <v>740340</v>
      </c>
      <c r="I1115" s="489">
        <v>713640</v>
      </c>
      <c r="J1115" s="489">
        <f t="shared" si="104"/>
        <v>3300</v>
      </c>
      <c r="K1115" s="869">
        <f t="shared" si="105"/>
        <v>4.6456626404257116E-3</v>
      </c>
      <c r="L1115" s="489">
        <f t="shared" si="106"/>
        <v>-26700</v>
      </c>
      <c r="M1115" s="869">
        <f t="shared" si="107"/>
        <v>-3.6064510900397112E-2</v>
      </c>
    </row>
    <row r="1116" spans="1:13" x14ac:dyDescent="0.2">
      <c r="A1116" s="459"/>
      <c r="B1116" s="459"/>
      <c r="C1116" s="392"/>
      <c r="D1116" s="194"/>
      <c r="E1116" s="194"/>
      <c r="F1116" s="194">
        <v>0</v>
      </c>
      <c r="G1116" s="194"/>
      <c r="H1116" s="194">
        <f t="shared" si="108"/>
        <v>0</v>
      </c>
      <c r="I1116" s="194">
        <v>0</v>
      </c>
      <c r="J1116" s="194">
        <f t="shared" si="104"/>
        <v>0</v>
      </c>
      <c r="K1116" s="887"/>
      <c r="L1116" s="194">
        <f t="shared" si="106"/>
        <v>0</v>
      </c>
      <c r="M1116" s="887"/>
    </row>
    <row r="1117" spans="1:13" x14ac:dyDescent="0.2">
      <c r="C1117" s="292" t="s">
        <v>404</v>
      </c>
      <c r="D1117" s="118">
        <v>410045</v>
      </c>
      <c r="E1117" s="118"/>
      <c r="F1117" s="477">
        <v>-10000</v>
      </c>
      <c r="G1117" s="566"/>
      <c r="H1117" s="477">
        <f t="shared" si="108"/>
        <v>400045</v>
      </c>
      <c r="I1117" s="477">
        <v>400045</v>
      </c>
      <c r="J1117" s="477">
        <f t="shared" si="104"/>
        <v>-10000</v>
      </c>
      <c r="K1117" s="909">
        <f t="shared" si="105"/>
        <v>-2.4387567218232147E-2</v>
      </c>
      <c r="L1117" s="477">
        <f t="shared" si="106"/>
        <v>0</v>
      </c>
      <c r="M1117" s="909">
        <f t="shared" si="107"/>
        <v>0</v>
      </c>
    </row>
    <row r="1118" spans="1:13" x14ac:dyDescent="0.2">
      <c r="C1118" s="392"/>
      <c r="D1118" s="194"/>
      <c r="E1118" s="194"/>
      <c r="F1118" s="194">
        <v>0</v>
      </c>
      <c r="G1118" s="194"/>
      <c r="H1118" s="194">
        <f t="shared" si="108"/>
        <v>0</v>
      </c>
      <c r="I1118" s="194">
        <v>0</v>
      </c>
      <c r="J1118" s="194">
        <f t="shared" si="104"/>
        <v>0</v>
      </c>
      <c r="K1118" s="887"/>
      <c r="L1118" s="194">
        <f t="shared" si="106"/>
        <v>0</v>
      </c>
      <c r="M1118" s="887"/>
    </row>
    <row r="1119" spans="1:13" ht="15" x14ac:dyDescent="0.2">
      <c r="A1119" s="459" t="s">
        <v>878</v>
      </c>
      <c r="B1119" s="459" t="s">
        <v>876</v>
      </c>
      <c r="C1119" s="291" t="s">
        <v>405</v>
      </c>
      <c r="D1119" s="192">
        <f>SUM(D1120)</f>
        <v>5225</v>
      </c>
      <c r="E1119" s="192"/>
      <c r="F1119" s="478">
        <v>0</v>
      </c>
      <c r="G1119" s="569"/>
      <c r="H1119" s="478">
        <f t="shared" si="108"/>
        <v>5225</v>
      </c>
      <c r="I1119" s="478">
        <v>5225</v>
      </c>
      <c r="J1119" s="478">
        <f t="shared" si="104"/>
        <v>0</v>
      </c>
      <c r="K1119" s="908">
        <f t="shared" si="105"/>
        <v>0</v>
      </c>
      <c r="L1119" s="478">
        <f t="shared" si="106"/>
        <v>0</v>
      </c>
      <c r="M1119" s="908">
        <f t="shared" si="107"/>
        <v>0</v>
      </c>
    </row>
    <row r="1120" spans="1:13" s="6" customFormat="1" x14ac:dyDescent="0.2">
      <c r="A1120" s="503"/>
      <c r="B1120" s="503"/>
      <c r="C1120" s="292" t="s">
        <v>406</v>
      </c>
      <c r="D1120" s="118">
        <v>5225</v>
      </c>
      <c r="E1120" s="118"/>
      <c r="F1120" s="477">
        <v>0</v>
      </c>
      <c r="G1120" s="566"/>
      <c r="H1120" s="477">
        <f t="shared" si="108"/>
        <v>5225</v>
      </c>
      <c r="I1120" s="477">
        <v>5225</v>
      </c>
      <c r="J1120" s="477">
        <f t="shared" si="104"/>
        <v>0</v>
      </c>
      <c r="K1120" s="909">
        <f t="shared" si="105"/>
        <v>0</v>
      </c>
      <c r="L1120" s="477">
        <f t="shared" si="106"/>
        <v>0</v>
      </c>
      <c r="M1120" s="909">
        <f t="shared" si="107"/>
        <v>0</v>
      </c>
    </row>
    <row r="1121" spans="1:13" x14ac:dyDescent="0.2">
      <c r="A1121" s="459"/>
      <c r="B1121" s="459"/>
      <c r="C1121" s="323"/>
      <c r="D1121" s="190"/>
      <c r="E1121" s="190"/>
      <c r="F1121" s="190">
        <v>0</v>
      </c>
      <c r="G1121" s="645"/>
      <c r="H1121" s="190">
        <f t="shared" si="108"/>
        <v>0</v>
      </c>
      <c r="I1121" s="190">
        <v>0</v>
      </c>
      <c r="J1121" s="190">
        <f t="shared" si="104"/>
        <v>0</v>
      </c>
      <c r="K1121" s="949"/>
      <c r="L1121" s="190">
        <f t="shared" si="106"/>
        <v>0</v>
      </c>
      <c r="M1121" s="949"/>
    </row>
    <row r="1122" spans="1:13" x14ac:dyDescent="0.2">
      <c r="C1122" s="100" t="s">
        <v>197</v>
      </c>
      <c r="D1122" s="170">
        <f>SUM(D1124,D1127,D1135,D1137,D1140,D1142,D1144,D1147,D1150,D1161,D1167,D1172,D1177)</f>
        <v>11648429</v>
      </c>
      <c r="E1122" s="170"/>
      <c r="F1122" s="488">
        <f>SUM(F1124,F1127,F1135,F1137,F1140,F1142,F1144,F1147,F1150,F1161,F1167,F1172,F1177)</f>
        <v>31013</v>
      </c>
      <c r="G1122" s="570">
        <f>SUM(G1124,G1127,G1135,G1137,G1140,G1142,G1144,G1147,G1150,G1161,G1167,G1172,G1177)</f>
        <v>1002862</v>
      </c>
      <c r="H1122" s="488">
        <f t="shared" si="108"/>
        <v>12682304</v>
      </c>
      <c r="I1122" s="488">
        <v>12492076</v>
      </c>
      <c r="J1122" s="488">
        <f t="shared" si="104"/>
        <v>843647</v>
      </c>
      <c r="K1122" s="865">
        <f t="shared" si="105"/>
        <v>7.2425818108175791E-2</v>
      </c>
      <c r="L1122" s="488">
        <f t="shared" si="106"/>
        <v>-190228</v>
      </c>
      <c r="M1122" s="865">
        <f t="shared" si="107"/>
        <v>-1.4999482743829512E-2</v>
      </c>
    </row>
    <row r="1123" spans="1:13" x14ac:dyDescent="0.2">
      <c r="C1123" s="100"/>
      <c r="D1123" s="170"/>
      <c r="E1123" s="170"/>
      <c r="F1123" s="488">
        <v>0</v>
      </c>
      <c r="G1123" s="570"/>
      <c r="H1123" s="488">
        <f t="shared" si="108"/>
        <v>0</v>
      </c>
      <c r="I1123" s="488">
        <v>0</v>
      </c>
      <c r="J1123" s="488">
        <f t="shared" si="104"/>
        <v>0</v>
      </c>
      <c r="K1123" s="865"/>
      <c r="L1123" s="488">
        <f t="shared" si="106"/>
        <v>0</v>
      </c>
      <c r="M1123" s="865"/>
    </row>
    <row r="1124" spans="1:13" x14ac:dyDescent="0.2">
      <c r="A1124" s="459" t="s">
        <v>878</v>
      </c>
      <c r="B1124" s="459" t="s">
        <v>876</v>
      </c>
      <c r="C1124" s="104" t="s">
        <v>556</v>
      </c>
      <c r="D1124" s="172">
        <v>3188419</v>
      </c>
      <c r="E1124" s="172"/>
      <c r="F1124" s="172">
        <v>-12905</v>
      </c>
      <c r="G1124" s="574">
        <f>40140-15483-33153</f>
        <v>-8496</v>
      </c>
      <c r="H1124" s="172">
        <f t="shared" si="108"/>
        <v>3167018</v>
      </c>
      <c r="I1124" s="172">
        <v>3657589</v>
      </c>
      <c r="J1124" s="172">
        <f t="shared" si="104"/>
        <v>469170</v>
      </c>
      <c r="K1124" s="524">
        <f t="shared" si="105"/>
        <v>0.1471481634001052</v>
      </c>
      <c r="L1124" s="172">
        <f t="shared" si="106"/>
        <v>490571</v>
      </c>
      <c r="M1124" s="524">
        <f t="shared" si="107"/>
        <v>0.15489997215045825</v>
      </c>
    </row>
    <row r="1125" spans="1:13" x14ac:dyDescent="0.2">
      <c r="C1125" s="308" t="s">
        <v>119</v>
      </c>
      <c r="D1125" s="489">
        <v>2170311</v>
      </c>
      <c r="E1125" s="145"/>
      <c r="F1125" s="489">
        <v>-3934</v>
      </c>
      <c r="G1125" s="781">
        <f>30000-11572-24778</f>
        <v>-6350</v>
      </c>
      <c r="H1125" s="489">
        <f t="shared" si="108"/>
        <v>2160027</v>
      </c>
      <c r="I1125" s="489">
        <v>2512384</v>
      </c>
      <c r="J1125" s="489">
        <f t="shared" si="104"/>
        <v>342073</v>
      </c>
      <c r="K1125" s="869">
        <f t="shared" si="105"/>
        <v>0.15761473816425389</v>
      </c>
      <c r="L1125" s="489">
        <f t="shared" si="106"/>
        <v>352357</v>
      </c>
      <c r="M1125" s="869">
        <f t="shared" si="107"/>
        <v>0.16312620166321995</v>
      </c>
    </row>
    <row r="1126" spans="1:13" x14ac:dyDescent="0.2">
      <c r="C1126" s="100"/>
      <c r="D1126" s="170"/>
      <c r="E1126" s="170"/>
      <c r="F1126" s="488">
        <v>0</v>
      </c>
      <c r="G1126" s="570"/>
      <c r="H1126" s="488">
        <f t="shared" si="108"/>
        <v>0</v>
      </c>
      <c r="I1126" s="488">
        <v>0</v>
      </c>
      <c r="J1126" s="488">
        <f t="shared" si="104"/>
        <v>0</v>
      </c>
      <c r="K1126" s="865"/>
      <c r="L1126" s="488">
        <f t="shared" si="106"/>
        <v>0</v>
      </c>
      <c r="M1126" s="865"/>
    </row>
    <row r="1127" spans="1:13" x14ac:dyDescent="0.2">
      <c r="A1127" s="459" t="s">
        <v>871</v>
      </c>
      <c r="B1127" s="459" t="s">
        <v>876</v>
      </c>
      <c r="C1127" s="315" t="s">
        <v>393</v>
      </c>
      <c r="D1127" s="197">
        <f>SUM(D1128:D1131)</f>
        <v>5379880</v>
      </c>
      <c r="E1127" s="197"/>
      <c r="F1127" s="496">
        <v>0</v>
      </c>
      <c r="G1127" s="613">
        <f>G1128</f>
        <v>1075858</v>
      </c>
      <c r="H1127" s="496">
        <f t="shared" si="108"/>
        <v>6455738</v>
      </c>
      <c r="I1127" s="496">
        <v>5760120</v>
      </c>
      <c r="J1127" s="496">
        <f t="shared" si="104"/>
        <v>380240</v>
      </c>
      <c r="K1127" s="887">
        <f t="shared" si="105"/>
        <v>7.0678156390105357E-2</v>
      </c>
      <c r="L1127" s="496">
        <f t="shared" si="106"/>
        <v>-695618</v>
      </c>
      <c r="M1127" s="887">
        <f t="shared" si="107"/>
        <v>-0.10775189451616531</v>
      </c>
    </row>
    <row r="1128" spans="1:13" x14ac:dyDescent="0.2">
      <c r="C1128" s="305" t="s">
        <v>716</v>
      </c>
      <c r="D1128" s="201">
        <v>4682000</v>
      </c>
      <c r="E1128" s="201"/>
      <c r="F1128" s="490">
        <v>0</v>
      </c>
      <c r="G1128" s="609">
        <v>1075858</v>
      </c>
      <c r="H1128" s="490">
        <f t="shared" si="108"/>
        <v>5757858</v>
      </c>
      <c r="I1128" s="490">
        <v>4965000</v>
      </c>
      <c r="J1128" s="490">
        <f t="shared" si="104"/>
        <v>283000</v>
      </c>
      <c r="K1128" s="914">
        <f t="shared" si="105"/>
        <v>6.0444254592054679E-2</v>
      </c>
      <c r="L1128" s="490">
        <f t="shared" si="106"/>
        <v>-792858</v>
      </c>
      <c r="M1128" s="914">
        <f t="shared" si="107"/>
        <v>-0.1377001655824093</v>
      </c>
    </row>
    <row r="1129" spans="1:13" ht="22.5" x14ac:dyDescent="0.2">
      <c r="C1129" s="394" t="s">
        <v>394</v>
      </c>
      <c r="D1129" s="205">
        <v>482000</v>
      </c>
      <c r="E1129" s="205"/>
      <c r="F1129" s="205">
        <v>0</v>
      </c>
      <c r="G1129" s="607"/>
      <c r="H1129" s="205">
        <f t="shared" si="108"/>
        <v>482000</v>
      </c>
      <c r="I1129" s="205">
        <v>482000</v>
      </c>
      <c r="J1129" s="205">
        <f t="shared" si="104"/>
        <v>0</v>
      </c>
      <c r="K1129" s="928">
        <f t="shared" si="105"/>
        <v>0</v>
      </c>
      <c r="L1129" s="205">
        <f t="shared" si="106"/>
        <v>0</v>
      </c>
      <c r="M1129" s="928">
        <f t="shared" si="107"/>
        <v>0</v>
      </c>
    </row>
    <row r="1130" spans="1:13" ht="22.5" x14ac:dyDescent="0.2">
      <c r="C1130" s="111" t="s">
        <v>395</v>
      </c>
      <c r="D1130" s="198">
        <v>64000</v>
      </c>
      <c r="E1130" s="198"/>
      <c r="F1130" s="198">
        <v>0</v>
      </c>
      <c r="G1130" s="607"/>
      <c r="H1130" s="198">
        <f t="shared" si="108"/>
        <v>64000</v>
      </c>
      <c r="I1130" s="198">
        <v>161240</v>
      </c>
      <c r="J1130" s="198">
        <f t="shared" si="104"/>
        <v>97240</v>
      </c>
      <c r="K1130" s="915">
        <f t="shared" si="105"/>
        <v>1.5193749999999999</v>
      </c>
      <c r="L1130" s="198">
        <f t="shared" si="106"/>
        <v>97240</v>
      </c>
      <c r="M1130" s="915">
        <f t="shared" si="107"/>
        <v>1.5193749999999999</v>
      </c>
    </row>
    <row r="1131" spans="1:13" x14ac:dyDescent="0.2">
      <c r="C1131" s="394" t="s">
        <v>396</v>
      </c>
      <c r="D1131" s="205">
        <v>151880</v>
      </c>
      <c r="E1131" s="205"/>
      <c r="F1131" s="205">
        <v>0</v>
      </c>
      <c r="G1131" s="607"/>
      <c r="H1131" s="205">
        <f t="shared" si="108"/>
        <v>151880</v>
      </c>
      <c r="I1131" s="205">
        <v>151880</v>
      </c>
      <c r="J1131" s="205">
        <f t="shared" si="104"/>
        <v>0</v>
      </c>
      <c r="K1131" s="928">
        <f t="shared" si="105"/>
        <v>0</v>
      </c>
      <c r="L1131" s="205">
        <f t="shared" si="106"/>
        <v>0</v>
      </c>
      <c r="M1131" s="928">
        <f t="shared" si="107"/>
        <v>0</v>
      </c>
    </row>
    <row r="1132" spans="1:13" x14ac:dyDescent="0.2">
      <c r="C1132" s="394"/>
      <c r="D1132" s="205"/>
      <c r="E1132" s="205"/>
      <c r="F1132" s="205">
        <v>0</v>
      </c>
      <c r="G1132" s="607"/>
      <c r="H1132" s="205">
        <f t="shared" si="108"/>
        <v>0</v>
      </c>
      <c r="I1132" s="205">
        <v>0</v>
      </c>
      <c r="J1132" s="205">
        <f t="shared" si="104"/>
        <v>0</v>
      </c>
      <c r="K1132" s="928"/>
      <c r="L1132" s="205">
        <f t="shared" si="106"/>
        <v>0</v>
      </c>
      <c r="M1132" s="928"/>
    </row>
    <row r="1133" spans="1:13" x14ac:dyDescent="0.2">
      <c r="C1133" s="406" t="s">
        <v>397</v>
      </c>
      <c r="D1133" s="201"/>
      <c r="E1133" s="201"/>
      <c r="F1133" s="490">
        <v>0</v>
      </c>
      <c r="G1133" s="612"/>
      <c r="H1133" s="490">
        <f t="shared" si="108"/>
        <v>0</v>
      </c>
      <c r="I1133" s="490">
        <v>0</v>
      </c>
      <c r="J1133" s="490">
        <f t="shared" si="104"/>
        <v>0</v>
      </c>
      <c r="K1133" s="914"/>
      <c r="L1133" s="490">
        <f t="shared" si="106"/>
        <v>0</v>
      </c>
      <c r="M1133" s="914"/>
    </row>
    <row r="1134" spans="1:13" x14ac:dyDescent="0.2">
      <c r="C1134" s="307"/>
      <c r="D1134" s="202"/>
      <c r="E1134" s="202"/>
      <c r="F1134" s="493">
        <v>0</v>
      </c>
      <c r="G1134" s="601"/>
      <c r="H1134" s="493">
        <f t="shared" si="108"/>
        <v>0</v>
      </c>
      <c r="I1134" s="493">
        <v>0</v>
      </c>
      <c r="J1134" s="493">
        <f t="shared" si="104"/>
        <v>0</v>
      </c>
      <c r="K1134" s="868"/>
      <c r="L1134" s="493">
        <f t="shared" si="106"/>
        <v>0</v>
      </c>
      <c r="M1134" s="868"/>
    </row>
    <row r="1135" spans="1:13" x14ac:dyDescent="0.2">
      <c r="A1135" s="459" t="s">
        <v>877</v>
      </c>
      <c r="B1135" s="459" t="s">
        <v>876</v>
      </c>
      <c r="C1135" s="104" t="s">
        <v>399</v>
      </c>
      <c r="D1135" s="172">
        <v>66500</v>
      </c>
      <c r="E1135" s="172"/>
      <c r="F1135" s="172">
        <v>0</v>
      </c>
      <c r="G1135" s="574">
        <v>-4500</v>
      </c>
      <c r="H1135" s="172">
        <f t="shared" si="108"/>
        <v>62000</v>
      </c>
      <c r="I1135" s="172">
        <v>66500</v>
      </c>
      <c r="J1135" s="172">
        <f t="shared" si="104"/>
        <v>0</v>
      </c>
      <c r="K1135" s="524">
        <f t="shared" si="105"/>
        <v>0</v>
      </c>
      <c r="L1135" s="172">
        <f t="shared" si="106"/>
        <v>4500</v>
      </c>
      <c r="M1135" s="524">
        <f t="shared" si="107"/>
        <v>7.2580645161290328E-2</v>
      </c>
    </row>
    <row r="1136" spans="1:13" x14ac:dyDescent="0.2">
      <c r="C1136" s="307"/>
      <c r="D1136" s="202"/>
      <c r="E1136" s="202"/>
      <c r="F1136" s="493">
        <v>0</v>
      </c>
      <c r="G1136" s="601"/>
      <c r="H1136" s="493">
        <f t="shared" si="108"/>
        <v>0</v>
      </c>
      <c r="I1136" s="493">
        <v>0</v>
      </c>
      <c r="J1136" s="493">
        <f t="shared" si="104"/>
        <v>0</v>
      </c>
      <c r="K1136" s="868"/>
      <c r="L1136" s="493">
        <f t="shared" si="106"/>
        <v>0</v>
      </c>
      <c r="M1136" s="868"/>
    </row>
    <row r="1137" spans="1:13" x14ac:dyDescent="0.2">
      <c r="A1137" s="459" t="s">
        <v>877</v>
      </c>
      <c r="B1137" s="459" t="s">
        <v>876</v>
      </c>
      <c r="C1137" s="315" t="s">
        <v>717</v>
      </c>
      <c r="D1137" s="197">
        <v>301040</v>
      </c>
      <c r="E1137" s="197"/>
      <c r="F1137" s="496">
        <v>0</v>
      </c>
      <c r="G1137" s="613"/>
      <c r="H1137" s="496">
        <f t="shared" si="108"/>
        <v>301040</v>
      </c>
      <c r="I1137" s="496">
        <v>301040</v>
      </c>
      <c r="J1137" s="496">
        <f t="shared" si="104"/>
        <v>0</v>
      </c>
      <c r="K1137" s="887">
        <f t="shared" si="105"/>
        <v>0</v>
      </c>
      <c r="L1137" s="496">
        <f t="shared" si="106"/>
        <v>0</v>
      </c>
      <c r="M1137" s="887">
        <f t="shared" si="107"/>
        <v>0</v>
      </c>
    </row>
    <row r="1138" spans="1:13" x14ac:dyDescent="0.2">
      <c r="C1138" s="308" t="s">
        <v>119</v>
      </c>
      <c r="D1138" s="489">
        <v>33092</v>
      </c>
      <c r="E1138" s="145"/>
      <c r="F1138" s="489">
        <v>0</v>
      </c>
      <c r="G1138" s="567"/>
      <c r="H1138" s="489">
        <f t="shared" si="108"/>
        <v>33092</v>
      </c>
      <c r="I1138" s="489">
        <v>33092</v>
      </c>
      <c r="J1138" s="489">
        <f t="shared" si="104"/>
        <v>0</v>
      </c>
      <c r="K1138" s="869">
        <f t="shared" si="105"/>
        <v>0</v>
      </c>
      <c r="L1138" s="489">
        <f t="shared" si="106"/>
        <v>0</v>
      </c>
      <c r="M1138" s="869">
        <f t="shared" si="107"/>
        <v>0</v>
      </c>
    </row>
    <row r="1139" spans="1:13" x14ac:dyDescent="0.2">
      <c r="C1139" s="308"/>
      <c r="D1139" s="145"/>
      <c r="E1139" s="145"/>
      <c r="F1139" s="489">
        <v>0</v>
      </c>
      <c r="G1139" s="567"/>
      <c r="H1139" s="489">
        <f t="shared" si="108"/>
        <v>0</v>
      </c>
      <c r="I1139" s="489">
        <v>0</v>
      </c>
      <c r="J1139" s="489">
        <f t="shared" si="104"/>
        <v>0</v>
      </c>
      <c r="K1139" s="869"/>
      <c r="L1139" s="489">
        <f t="shared" si="106"/>
        <v>0</v>
      </c>
      <c r="M1139" s="869"/>
    </row>
    <row r="1140" spans="1:13" x14ac:dyDescent="0.2">
      <c r="A1140" s="459" t="s">
        <v>872</v>
      </c>
      <c r="B1140" s="459" t="s">
        <v>876</v>
      </c>
      <c r="C1140" s="307" t="s">
        <v>407</v>
      </c>
      <c r="D1140" s="202">
        <v>510900</v>
      </c>
      <c r="E1140" s="202"/>
      <c r="F1140" s="493">
        <v>-18938</v>
      </c>
      <c r="G1140" s="601">
        <v>-20000</v>
      </c>
      <c r="H1140" s="493">
        <f t="shared" si="108"/>
        <v>471962</v>
      </c>
      <c r="I1140" s="493">
        <v>510900</v>
      </c>
      <c r="J1140" s="493">
        <f t="shared" si="104"/>
        <v>0</v>
      </c>
      <c r="K1140" s="868">
        <f t="shared" si="105"/>
        <v>0</v>
      </c>
      <c r="L1140" s="493">
        <f t="shared" si="106"/>
        <v>38938</v>
      </c>
      <c r="M1140" s="868">
        <f t="shared" si="107"/>
        <v>8.2502404854628134E-2</v>
      </c>
    </row>
    <row r="1141" spans="1:13" x14ac:dyDescent="0.2">
      <c r="C1141" s="307"/>
      <c r="D1141" s="202"/>
      <c r="E1141" s="202"/>
      <c r="F1141" s="493">
        <v>0</v>
      </c>
      <c r="G1141" s="601"/>
      <c r="H1141" s="493">
        <f t="shared" si="108"/>
        <v>0</v>
      </c>
      <c r="I1141" s="493">
        <v>0</v>
      </c>
      <c r="J1141" s="493">
        <f t="shared" si="104"/>
        <v>0</v>
      </c>
      <c r="K1141" s="868"/>
      <c r="L1141" s="493">
        <f t="shared" si="106"/>
        <v>0</v>
      </c>
      <c r="M1141" s="868"/>
    </row>
    <row r="1142" spans="1:13" x14ac:dyDescent="0.2">
      <c r="A1142" s="459" t="s">
        <v>870</v>
      </c>
      <c r="B1142" s="459" t="s">
        <v>876</v>
      </c>
      <c r="C1142" s="315" t="s">
        <v>557</v>
      </c>
      <c r="D1142" s="197">
        <v>150000</v>
      </c>
      <c r="E1142" s="197"/>
      <c r="F1142" s="496">
        <v>35933</v>
      </c>
      <c r="G1142" s="613">
        <v>5000</v>
      </c>
      <c r="H1142" s="496">
        <f t="shared" si="108"/>
        <v>190933</v>
      </c>
      <c r="I1142" s="496">
        <v>220000</v>
      </c>
      <c r="J1142" s="496">
        <f t="shared" si="104"/>
        <v>70000</v>
      </c>
      <c r="K1142" s="887">
        <f t="shared" si="105"/>
        <v>0.46666666666666667</v>
      </c>
      <c r="L1142" s="496">
        <f t="shared" si="106"/>
        <v>29067</v>
      </c>
      <c r="M1142" s="887">
        <f t="shared" si="107"/>
        <v>0.15223664845783599</v>
      </c>
    </row>
    <row r="1143" spans="1:13" x14ac:dyDescent="0.2">
      <c r="C1143" s="340"/>
      <c r="D1143" s="207"/>
      <c r="E1143" s="207"/>
      <c r="F1143" s="207">
        <v>0</v>
      </c>
      <c r="G1143" s="599"/>
      <c r="H1143" s="207">
        <f t="shared" si="108"/>
        <v>0</v>
      </c>
      <c r="I1143" s="207">
        <v>0</v>
      </c>
      <c r="J1143" s="207">
        <f t="shared" si="104"/>
        <v>0</v>
      </c>
      <c r="K1143" s="950"/>
      <c r="L1143" s="207">
        <f t="shared" si="106"/>
        <v>0</v>
      </c>
      <c r="M1143" s="950"/>
    </row>
    <row r="1144" spans="1:13" x14ac:dyDescent="0.2">
      <c r="A1144" s="459" t="s">
        <v>863</v>
      </c>
      <c r="B1144" s="459" t="s">
        <v>876</v>
      </c>
      <c r="C1144" s="104" t="s">
        <v>412</v>
      </c>
      <c r="D1144" s="172">
        <v>9500</v>
      </c>
      <c r="E1144" s="172"/>
      <c r="F1144" s="172">
        <v>0</v>
      </c>
      <c r="G1144" s="574"/>
      <c r="H1144" s="172">
        <f t="shared" si="108"/>
        <v>9500</v>
      </c>
      <c r="I1144" s="172">
        <v>9500</v>
      </c>
      <c r="J1144" s="172">
        <f t="shared" ref="J1144:J1207" si="110">I1144-D1144</f>
        <v>0</v>
      </c>
      <c r="K1144" s="524">
        <f t="shared" ref="K1144:K1206" si="111">J1144/D1144</f>
        <v>0</v>
      </c>
      <c r="L1144" s="172">
        <f t="shared" ref="L1144:L1207" si="112">I1144-H1144</f>
        <v>0</v>
      </c>
      <c r="M1144" s="524">
        <f t="shared" ref="M1144:M1206" si="113">L1144/H1144</f>
        <v>0</v>
      </c>
    </row>
    <row r="1145" spans="1:13" x14ac:dyDescent="0.2">
      <c r="C1145" s="308" t="s">
        <v>119</v>
      </c>
      <c r="D1145" s="489">
        <v>7100</v>
      </c>
      <c r="E1145" s="145"/>
      <c r="F1145" s="489">
        <v>0</v>
      </c>
      <c r="G1145" s="567"/>
      <c r="H1145" s="489">
        <f t="shared" si="108"/>
        <v>7100</v>
      </c>
      <c r="I1145" s="489">
        <v>7100</v>
      </c>
      <c r="J1145" s="489">
        <f t="shared" si="110"/>
        <v>0</v>
      </c>
      <c r="K1145" s="869">
        <f t="shared" si="111"/>
        <v>0</v>
      </c>
      <c r="L1145" s="489">
        <f t="shared" si="112"/>
        <v>0</v>
      </c>
      <c r="M1145" s="869">
        <f t="shared" si="113"/>
        <v>0</v>
      </c>
    </row>
    <row r="1146" spans="1:13" x14ac:dyDescent="0.2">
      <c r="C1146" s="308"/>
      <c r="D1146" s="145"/>
      <c r="E1146" s="145"/>
      <c r="F1146" s="489">
        <v>0</v>
      </c>
      <c r="G1146" s="567"/>
      <c r="H1146" s="489">
        <f t="shared" si="108"/>
        <v>0</v>
      </c>
      <c r="I1146" s="489">
        <v>0</v>
      </c>
      <c r="J1146" s="489">
        <f t="shared" si="110"/>
        <v>0</v>
      </c>
      <c r="K1146" s="869"/>
      <c r="L1146" s="489">
        <f t="shared" si="112"/>
        <v>0</v>
      </c>
      <c r="M1146" s="869"/>
    </row>
    <row r="1147" spans="1:13" ht="25.5" x14ac:dyDescent="0.2">
      <c r="A1147" s="459" t="s">
        <v>870</v>
      </c>
      <c r="B1147" s="459" t="s">
        <v>876</v>
      </c>
      <c r="C1147" s="315" t="s">
        <v>514</v>
      </c>
      <c r="D1147" s="197">
        <v>40000</v>
      </c>
      <c r="E1147" s="197"/>
      <c r="F1147" s="496">
        <v>0</v>
      </c>
      <c r="G1147" s="613">
        <v>-40000</v>
      </c>
      <c r="H1147" s="496">
        <f t="shared" si="108"/>
        <v>0</v>
      </c>
      <c r="I1147" s="496">
        <v>40000</v>
      </c>
      <c r="J1147" s="496">
        <f t="shared" si="110"/>
        <v>0</v>
      </c>
      <c r="K1147" s="887">
        <f t="shared" si="111"/>
        <v>0</v>
      </c>
      <c r="L1147" s="496">
        <f t="shared" si="112"/>
        <v>40000</v>
      </c>
      <c r="M1147" s="887"/>
    </row>
    <row r="1148" spans="1:13" s="486" customFormat="1" x14ac:dyDescent="0.2">
      <c r="A1148" s="503"/>
      <c r="B1148" s="503"/>
      <c r="C1148" s="315"/>
      <c r="D1148" s="197"/>
      <c r="E1148" s="197"/>
      <c r="F1148" s="496">
        <v>0</v>
      </c>
      <c r="G1148" s="613"/>
      <c r="H1148" s="496">
        <f t="shared" si="108"/>
        <v>0</v>
      </c>
      <c r="I1148" s="496">
        <v>0</v>
      </c>
      <c r="J1148" s="496">
        <f t="shared" si="110"/>
        <v>0</v>
      </c>
      <c r="K1148" s="887"/>
      <c r="L1148" s="496">
        <f t="shared" si="112"/>
        <v>0</v>
      </c>
      <c r="M1148" s="887"/>
    </row>
    <row r="1149" spans="1:13" x14ac:dyDescent="0.2">
      <c r="C1149" s="315"/>
      <c r="D1149" s="496"/>
      <c r="E1149" s="496"/>
      <c r="F1149" s="496">
        <v>0</v>
      </c>
      <c r="G1149" s="613"/>
      <c r="H1149" s="496">
        <f t="shared" si="108"/>
        <v>0</v>
      </c>
      <c r="I1149" s="496">
        <v>0</v>
      </c>
      <c r="J1149" s="496">
        <f t="shared" si="110"/>
        <v>0</v>
      </c>
      <c r="K1149" s="887"/>
      <c r="L1149" s="496">
        <f t="shared" si="112"/>
        <v>0</v>
      </c>
      <c r="M1149" s="887"/>
    </row>
    <row r="1150" spans="1:13" x14ac:dyDescent="0.2">
      <c r="A1150" s="459" t="s">
        <v>870</v>
      </c>
      <c r="B1150" s="459" t="s">
        <v>876</v>
      </c>
      <c r="C1150" s="315" t="s">
        <v>558</v>
      </c>
      <c r="D1150" s="197">
        <v>1589747</v>
      </c>
      <c r="E1150" s="197"/>
      <c r="F1150" s="496">
        <v>336</v>
      </c>
      <c r="G1150" s="613">
        <v>-5000</v>
      </c>
      <c r="H1150" s="496">
        <f t="shared" ref="H1150:H1213" si="114">D1150+E1150+F1150+G1150</f>
        <v>1585083</v>
      </c>
      <c r="I1150" s="496">
        <v>1799250</v>
      </c>
      <c r="J1150" s="496">
        <f t="shared" si="110"/>
        <v>209503</v>
      </c>
      <c r="K1150" s="887">
        <f t="shared" si="111"/>
        <v>0.13178386246364987</v>
      </c>
      <c r="L1150" s="496">
        <f t="shared" si="112"/>
        <v>214167</v>
      </c>
      <c r="M1150" s="887">
        <f t="shared" si="113"/>
        <v>0.13511406027318443</v>
      </c>
    </row>
    <row r="1151" spans="1:13" x14ac:dyDescent="0.2">
      <c r="C1151" s="305" t="s">
        <v>718</v>
      </c>
      <c r="D1151" s="201">
        <v>82500</v>
      </c>
      <c r="E1151" s="201"/>
      <c r="F1151" s="490">
        <v>0</v>
      </c>
      <c r="G1151" s="612"/>
      <c r="H1151" s="490">
        <f t="shared" si="114"/>
        <v>82500</v>
      </c>
      <c r="I1151" s="490">
        <v>94500</v>
      </c>
      <c r="J1151" s="490">
        <f t="shared" si="110"/>
        <v>12000</v>
      </c>
      <c r="K1151" s="914">
        <f t="shared" si="111"/>
        <v>0.14545454545454545</v>
      </c>
      <c r="L1151" s="490">
        <f t="shared" si="112"/>
        <v>12000</v>
      </c>
      <c r="M1151" s="914">
        <f t="shared" si="113"/>
        <v>0.14545454545454545</v>
      </c>
    </row>
    <row r="1152" spans="1:13" x14ac:dyDescent="0.2">
      <c r="C1152" s="311" t="s">
        <v>409</v>
      </c>
      <c r="D1152" s="201">
        <v>570347</v>
      </c>
      <c r="E1152" s="201"/>
      <c r="F1152" s="490">
        <v>0</v>
      </c>
      <c r="G1152" s="612"/>
      <c r="H1152" s="490">
        <f t="shared" si="114"/>
        <v>570347</v>
      </c>
      <c r="I1152" s="490">
        <v>570350</v>
      </c>
      <c r="J1152" s="490">
        <f t="shared" si="110"/>
        <v>3</v>
      </c>
      <c r="K1152" s="914">
        <f t="shared" si="111"/>
        <v>5.2599557813050649E-6</v>
      </c>
      <c r="L1152" s="490">
        <f t="shared" si="112"/>
        <v>3</v>
      </c>
      <c r="M1152" s="914">
        <f t="shared" si="113"/>
        <v>5.2599557813050649E-6</v>
      </c>
    </row>
    <row r="1153" spans="1:13" x14ac:dyDescent="0.2">
      <c r="C1153" s="311" t="s">
        <v>410</v>
      </c>
      <c r="D1153" s="201">
        <v>67900</v>
      </c>
      <c r="E1153" s="201"/>
      <c r="F1153" s="490">
        <v>-16000</v>
      </c>
      <c r="G1153" s="612">
        <v>-5000</v>
      </c>
      <c r="H1153" s="490">
        <f t="shared" si="114"/>
        <v>46900</v>
      </c>
      <c r="I1153" s="490">
        <v>67900</v>
      </c>
      <c r="J1153" s="490">
        <f t="shared" si="110"/>
        <v>0</v>
      </c>
      <c r="K1153" s="914">
        <f t="shared" si="111"/>
        <v>0</v>
      </c>
      <c r="L1153" s="490">
        <f t="shared" si="112"/>
        <v>21000</v>
      </c>
      <c r="M1153" s="914">
        <f t="shared" si="113"/>
        <v>0.44776119402985076</v>
      </c>
    </row>
    <row r="1154" spans="1:13" x14ac:dyDescent="0.2">
      <c r="C1154" s="311" t="s">
        <v>411</v>
      </c>
      <c r="D1154" s="201">
        <v>24000</v>
      </c>
      <c r="E1154" s="201"/>
      <c r="F1154" s="490">
        <v>10000</v>
      </c>
      <c r="G1154" s="612"/>
      <c r="H1154" s="490">
        <f t="shared" si="114"/>
        <v>34000</v>
      </c>
      <c r="I1154" s="490">
        <v>24000</v>
      </c>
      <c r="J1154" s="490">
        <f t="shared" si="110"/>
        <v>0</v>
      </c>
      <c r="K1154" s="914">
        <f t="shared" si="111"/>
        <v>0</v>
      </c>
      <c r="L1154" s="490">
        <f t="shared" si="112"/>
        <v>-10000</v>
      </c>
      <c r="M1154" s="914">
        <f t="shared" si="113"/>
        <v>-0.29411764705882354</v>
      </c>
    </row>
    <row r="1155" spans="1:13" x14ac:dyDescent="0.2">
      <c r="C1155" s="396" t="s">
        <v>559</v>
      </c>
      <c r="D1155" s="206">
        <v>229500</v>
      </c>
      <c r="E1155" s="206"/>
      <c r="F1155" s="206">
        <v>0</v>
      </c>
      <c r="G1155" s="612"/>
      <c r="H1155" s="206">
        <f t="shared" si="114"/>
        <v>229500</v>
      </c>
      <c r="I1155" s="206">
        <v>231000</v>
      </c>
      <c r="J1155" s="206">
        <f t="shared" si="110"/>
        <v>1500</v>
      </c>
      <c r="K1155" s="927">
        <f t="shared" si="111"/>
        <v>6.5359477124183009E-3</v>
      </c>
      <c r="L1155" s="206">
        <f t="shared" si="112"/>
        <v>1500</v>
      </c>
      <c r="M1155" s="927">
        <f t="shared" si="113"/>
        <v>6.5359477124183009E-3</v>
      </c>
    </row>
    <row r="1156" spans="1:13" x14ac:dyDescent="0.2">
      <c r="C1156" s="396" t="s">
        <v>400</v>
      </c>
      <c r="D1156" s="206">
        <v>23600</v>
      </c>
      <c r="E1156" s="206"/>
      <c r="F1156" s="206">
        <v>0</v>
      </c>
      <c r="G1156" s="612"/>
      <c r="H1156" s="206">
        <f t="shared" si="114"/>
        <v>23600</v>
      </c>
      <c r="I1156" s="206">
        <v>25000</v>
      </c>
      <c r="J1156" s="206">
        <f t="shared" si="110"/>
        <v>1400</v>
      </c>
      <c r="K1156" s="927">
        <f t="shared" si="111"/>
        <v>5.9322033898305086E-2</v>
      </c>
      <c r="L1156" s="206">
        <f t="shared" si="112"/>
        <v>1400</v>
      </c>
      <c r="M1156" s="927">
        <f t="shared" si="113"/>
        <v>5.9322033898305086E-2</v>
      </c>
    </row>
    <row r="1157" spans="1:13" x14ac:dyDescent="0.2">
      <c r="C1157" s="396" t="s">
        <v>560</v>
      </c>
      <c r="D1157" s="206">
        <v>502000</v>
      </c>
      <c r="E1157" s="206"/>
      <c r="F1157" s="206">
        <v>1610</v>
      </c>
      <c r="G1157" s="612">
        <v>14735</v>
      </c>
      <c r="H1157" s="206">
        <f t="shared" si="114"/>
        <v>518345</v>
      </c>
      <c r="I1157" s="206">
        <v>693000</v>
      </c>
      <c r="J1157" s="206">
        <f t="shared" si="110"/>
        <v>191000</v>
      </c>
      <c r="K1157" s="927">
        <f t="shared" si="111"/>
        <v>0.38047808764940239</v>
      </c>
      <c r="L1157" s="206">
        <f t="shared" si="112"/>
        <v>174655</v>
      </c>
      <c r="M1157" s="927">
        <f t="shared" si="113"/>
        <v>0.33694739989775152</v>
      </c>
    </row>
    <row r="1158" spans="1:13" x14ac:dyDescent="0.2">
      <c r="C1158" s="315"/>
      <c r="D1158" s="197"/>
      <c r="E1158" s="197"/>
      <c r="F1158" s="496">
        <v>0</v>
      </c>
      <c r="G1158" s="613"/>
      <c r="H1158" s="496">
        <f t="shared" si="114"/>
        <v>0</v>
      </c>
      <c r="I1158" s="496">
        <v>0</v>
      </c>
      <c r="J1158" s="496">
        <f t="shared" si="110"/>
        <v>0</v>
      </c>
      <c r="K1158" s="887"/>
      <c r="L1158" s="496">
        <f t="shared" si="112"/>
        <v>0</v>
      </c>
      <c r="M1158" s="887"/>
    </row>
    <row r="1159" spans="1:13" x14ac:dyDescent="0.2">
      <c r="C1159" s="406" t="s">
        <v>397</v>
      </c>
      <c r="D1159" s="201"/>
      <c r="E1159" s="201"/>
      <c r="F1159" s="490">
        <v>0</v>
      </c>
      <c r="G1159" s="612"/>
      <c r="H1159" s="490">
        <f t="shared" si="114"/>
        <v>0</v>
      </c>
      <c r="I1159" s="490">
        <v>0</v>
      </c>
      <c r="J1159" s="490">
        <f t="shared" si="110"/>
        <v>0</v>
      </c>
      <c r="K1159" s="914"/>
      <c r="L1159" s="490">
        <f t="shared" si="112"/>
        <v>0</v>
      </c>
      <c r="M1159" s="914"/>
    </row>
    <row r="1160" spans="1:13" x14ac:dyDescent="0.2">
      <c r="C1160" s="307"/>
      <c r="D1160" s="202"/>
      <c r="E1160" s="202"/>
      <c r="F1160" s="493">
        <v>0</v>
      </c>
      <c r="G1160" s="601"/>
      <c r="H1160" s="493">
        <f t="shared" si="114"/>
        <v>0</v>
      </c>
      <c r="I1160" s="493">
        <v>0</v>
      </c>
      <c r="J1160" s="493">
        <f t="shared" si="110"/>
        <v>0</v>
      </c>
      <c r="K1160" s="868"/>
      <c r="L1160" s="493">
        <f t="shared" si="112"/>
        <v>0</v>
      </c>
      <c r="M1160" s="868"/>
    </row>
    <row r="1161" spans="1:13" ht="38.25" x14ac:dyDescent="0.2">
      <c r="A1161" s="459" t="s">
        <v>878</v>
      </c>
      <c r="B1161" s="459" t="s">
        <v>876</v>
      </c>
      <c r="C1161" s="315" t="s">
        <v>515</v>
      </c>
      <c r="D1161" s="197">
        <v>61190</v>
      </c>
      <c r="E1161" s="197"/>
      <c r="F1161" s="496">
        <v>18243</v>
      </c>
      <c r="G1161" s="613"/>
      <c r="H1161" s="496">
        <f t="shared" si="114"/>
        <v>79433</v>
      </c>
      <c r="I1161" s="496">
        <v>51877</v>
      </c>
      <c r="J1161" s="496">
        <f t="shared" si="110"/>
        <v>-9313</v>
      </c>
      <c r="K1161" s="887">
        <f t="shared" si="111"/>
        <v>-0.15219807158032359</v>
      </c>
      <c r="L1161" s="496">
        <f t="shared" si="112"/>
        <v>-27556</v>
      </c>
      <c r="M1161" s="887">
        <f t="shared" si="113"/>
        <v>-0.34690871552125691</v>
      </c>
    </row>
    <row r="1162" spans="1:13" x14ac:dyDescent="0.2">
      <c r="A1162" s="459"/>
      <c r="B1162" s="459"/>
      <c r="C1162" s="308" t="s">
        <v>119</v>
      </c>
      <c r="D1162" s="489">
        <v>27720</v>
      </c>
      <c r="E1162" s="145"/>
      <c r="F1162" s="489">
        <v>0</v>
      </c>
      <c r="G1162" s="781">
        <v>458</v>
      </c>
      <c r="H1162" s="489">
        <f t="shared" si="114"/>
        <v>28178</v>
      </c>
      <c r="I1162" s="489">
        <v>25697</v>
      </c>
      <c r="J1162" s="489">
        <f t="shared" si="110"/>
        <v>-2023</v>
      </c>
      <c r="K1162" s="869">
        <f t="shared" si="111"/>
        <v>-7.2979797979797978E-2</v>
      </c>
      <c r="L1162" s="489">
        <f t="shared" si="112"/>
        <v>-2481</v>
      </c>
      <c r="M1162" s="869">
        <f t="shared" si="113"/>
        <v>-8.8047412875292788E-2</v>
      </c>
    </row>
    <row r="1163" spans="1:13" x14ac:dyDescent="0.2">
      <c r="A1163" s="459"/>
      <c r="B1163" s="459"/>
      <c r="C1163" s="339"/>
      <c r="D1163" s="208"/>
      <c r="E1163" s="208"/>
      <c r="F1163" s="208">
        <v>0</v>
      </c>
      <c r="G1163" s="648"/>
      <c r="H1163" s="208">
        <f t="shared" si="114"/>
        <v>0</v>
      </c>
      <c r="I1163" s="208">
        <v>0</v>
      </c>
      <c r="J1163" s="208">
        <f t="shared" si="110"/>
        <v>0</v>
      </c>
      <c r="K1163" s="951"/>
      <c r="L1163" s="208">
        <f t="shared" si="112"/>
        <v>0</v>
      </c>
      <c r="M1163" s="951"/>
    </row>
    <row r="1164" spans="1:13" s="486" customFormat="1" x14ac:dyDescent="0.2">
      <c r="A1164" s="459"/>
      <c r="B1164" s="459"/>
      <c r="C1164" s="299" t="s">
        <v>329</v>
      </c>
      <c r="D1164" s="196">
        <v>37300</v>
      </c>
      <c r="E1164" s="196"/>
      <c r="F1164" s="495">
        <v>9774</v>
      </c>
      <c r="G1164" s="568"/>
      <c r="H1164" s="495">
        <f t="shared" si="114"/>
        <v>47074</v>
      </c>
      <c r="I1164" s="495">
        <v>31126</v>
      </c>
      <c r="J1164" s="495">
        <f t="shared" si="110"/>
        <v>-6174</v>
      </c>
      <c r="K1164" s="888">
        <f t="shared" si="111"/>
        <v>-0.16552278820375335</v>
      </c>
      <c r="L1164" s="495">
        <f t="shared" si="112"/>
        <v>-15948</v>
      </c>
      <c r="M1164" s="888">
        <f t="shared" si="113"/>
        <v>-0.33878574159833452</v>
      </c>
    </row>
    <row r="1165" spans="1:13" ht="24" x14ac:dyDescent="0.2">
      <c r="A1165" s="459"/>
      <c r="B1165" s="459"/>
      <c r="C1165" s="299" t="s">
        <v>993</v>
      </c>
      <c r="D1165" s="495"/>
      <c r="E1165" s="495"/>
      <c r="F1165" s="495"/>
      <c r="G1165" s="568"/>
      <c r="H1165" s="495">
        <f t="shared" si="114"/>
        <v>0</v>
      </c>
      <c r="I1165" s="495">
        <v>4393</v>
      </c>
      <c r="J1165" s="495">
        <f t="shared" si="110"/>
        <v>4393</v>
      </c>
      <c r="K1165" s="888"/>
      <c r="L1165" s="495">
        <f t="shared" si="112"/>
        <v>4393</v>
      </c>
      <c r="M1165" s="888"/>
    </row>
    <row r="1166" spans="1:13" x14ac:dyDescent="0.2">
      <c r="A1166" s="459"/>
      <c r="B1166" s="459"/>
      <c r="C1166" s="315"/>
      <c r="D1166" s="197"/>
      <c r="E1166" s="197"/>
      <c r="F1166" s="496">
        <v>0</v>
      </c>
      <c r="G1166" s="613"/>
      <c r="H1166" s="496">
        <f t="shared" si="114"/>
        <v>0</v>
      </c>
      <c r="I1166" s="496">
        <v>0</v>
      </c>
      <c r="J1166" s="496">
        <f t="shared" si="110"/>
        <v>0</v>
      </c>
      <c r="K1166" s="887"/>
      <c r="L1166" s="496">
        <f t="shared" si="112"/>
        <v>0</v>
      </c>
      <c r="M1166" s="887"/>
    </row>
    <row r="1167" spans="1:13" ht="51" x14ac:dyDescent="0.2">
      <c r="A1167" s="459" t="s">
        <v>872</v>
      </c>
      <c r="B1167" s="459" t="s">
        <v>876</v>
      </c>
      <c r="C1167" s="315" t="s">
        <v>516</v>
      </c>
      <c r="D1167" s="197">
        <v>271253</v>
      </c>
      <c r="E1167" s="197"/>
      <c r="F1167" s="496">
        <v>0</v>
      </c>
      <c r="G1167" s="613"/>
      <c r="H1167" s="496">
        <f t="shared" si="114"/>
        <v>271253</v>
      </c>
      <c r="I1167" s="496">
        <v>0</v>
      </c>
      <c r="J1167" s="496">
        <f t="shared" si="110"/>
        <v>-271253</v>
      </c>
      <c r="K1167" s="887">
        <f t="shared" si="111"/>
        <v>-1</v>
      </c>
      <c r="L1167" s="496">
        <f t="shared" si="112"/>
        <v>-271253</v>
      </c>
      <c r="M1167" s="887">
        <f t="shared" si="113"/>
        <v>-1</v>
      </c>
    </row>
    <row r="1168" spans="1:13" x14ac:dyDescent="0.2">
      <c r="A1168" s="459"/>
      <c r="B1168" s="459"/>
      <c r="C1168" s="308" t="s">
        <v>119</v>
      </c>
      <c r="D1168" s="489">
        <v>8000</v>
      </c>
      <c r="E1168" s="145"/>
      <c r="F1168" s="489">
        <v>0</v>
      </c>
      <c r="G1168" s="567"/>
      <c r="H1168" s="489">
        <f t="shared" si="114"/>
        <v>8000</v>
      </c>
      <c r="I1168" s="489">
        <v>0</v>
      </c>
      <c r="J1168" s="489">
        <f t="shared" si="110"/>
        <v>-8000</v>
      </c>
      <c r="K1168" s="869">
        <f t="shared" si="111"/>
        <v>-1</v>
      </c>
      <c r="L1168" s="489">
        <f t="shared" si="112"/>
        <v>-8000</v>
      </c>
      <c r="M1168" s="869">
        <f t="shared" si="113"/>
        <v>-1</v>
      </c>
    </row>
    <row r="1169" spans="1:13" x14ac:dyDescent="0.2">
      <c r="A1169" s="65"/>
      <c r="B1169" s="65"/>
      <c r="C1169" s="340"/>
      <c r="D1169" s="207"/>
      <c r="E1169" s="207"/>
      <c r="F1169" s="207">
        <v>0</v>
      </c>
      <c r="G1169" s="599"/>
      <c r="H1169" s="207">
        <f t="shared" si="114"/>
        <v>0</v>
      </c>
      <c r="I1169" s="207">
        <v>0</v>
      </c>
      <c r="J1169" s="207">
        <f t="shared" si="110"/>
        <v>0</v>
      </c>
      <c r="K1169" s="950"/>
      <c r="L1169" s="207">
        <f t="shared" si="112"/>
        <v>0</v>
      </c>
      <c r="M1169" s="950"/>
    </row>
    <row r="1170" spans="1:13" x14ac:dyDescent="0.2">
      <c r="A1170" s="459"/>
      <c r="B1170" s="459"/>
      <c r="C1170" s="299" t="s">
        <v>329</v>
      </c>
      <c r="D1170" s="196">
        <v>269333</v>
      </c>
      <c r="E1170" s="196"/>
      <c r="F1170" s="495">
        <v>0</v>
      </c>
      <c r="G1170" s="568"/>
      <c r="H1170" s="495">
        <f t="shared" si="114"/>
        <v>269333</v>
      </c>
      <c r="I1170" s="495">
        <v>0</v>
      </c>
      <c r="J1170" s="495">
        <f t="shared" si="110"/>
        <v>-269333</v>
      </c>
      <c r="K1170" s="888">
        <f t="shared" si="111"/>
        <v>-1</v>
      </c>
      <c r="L1170" s="495">
        <f t="shared" si="112"/>
        <v>-269333</v>
      </c>
      <c r="M1170" s="888">
        <f t="shared" si="113"/>
        <v>-1</v>
      </c>
    </row>
    <row r="1171" spans="1:13" x14ac:dyDescent="0.2">
      <c r="A1171" s="459"/>
      <c r="B1171" s="459"/>
      <c r="C1171" s="299"/>
      <c r="D1171" s="196"/>
      <c r="E1171" s="196"/>
      <c r="F1171" s="495">
        <v>0</v>
      </c>
      <c r="G1171" s="568"/>
      <c r="H1171" s="495">
        <f t="shared" si="114"/>
        <v>0</v>
      </c>
      <c r="I1171" s="495">
        <v>0</v>
      </c>
      <c r="J1171" s="495">
        <f t="shared" si="110"/>
        <v>0</v>
      </c>
      <c r="K1171" s="888"/>
      <c r="L1171" s="495">
        <f t="shared" si="112"/>
        <v>0</v>
      </c>
      <c r="M1171" s="888"/>
    </row>
    <row r="1172" spans="1:13" ht="25.5" x14ac:dyDescent="0.2">
      <c r="A1172" s="459" t="s">
        <v>872</v>
      </c>
      <c r="B1172" s="459" t="s">
        <v>876</v>
      </c>
      <c r="C1172" s="315" t="s">
        <v>517</v>
      </c>
      <c r="D1172" s="197">
        <v>30000</v>
      </c>
      <c r="E1172" s="197"/>
      <c r="F1172" s="496">
        <v>0</v>
      </c>
      <c r="G1172" s="613"/>
      <c r="H1172" s="496">
        <f t="shared" si="114"/>
        <v>30000</v>
      </c>
      <c r="I1172" s="496">
        <v>25300</v>
      </c>
      <c r="J1172" s="496">
        <f t="shared" si="110"/>
        <v>-4700</v>
      </c>
      <c r="K1172" s="887">
        <f t="shared" si="111"/>
        <v>-0.15666666666666668</v>
      </c>
      <c r="L1172" s="496">
        <f t="shared" si="112"/>
        <v>-4700</v>
      </c>
      <c r="M1172" s="887">
        <f t="shared" si="113"/>
        <v>-0.15666666666666668</v>
      </c>
    </row>
    <row r="1173" spans="1:13" x14ac:dyDescent="0.2">
      <c r="A1173" s="459"/>
      <c r="B1173" s="459"/>
      <c r="C1173" s="308" t="s">
        <v>119</v>
      </c>
      <c r="D1173" s="489">
        <v>4260</v>
      </c>
      <c r="E1173" s="145"/>
      <c r="F1173" s="489">
        <v>0</v>
      </c>
      <c r="G1173" s="567"/>
      <c r="H1173" s="489">
        <f t="shared" si="114"/>
        <v>4260</v>
      </c>
      <c r="I1173" s="489">
        <v>4260</v>
      </c>
      <c r="J1173" s="489">
        <f t="shared" si="110"/>
        <v>0</v>
      </c>
      <c r="K1173" s="869">
        <f t="shared" si="111"/>
        <v>0</v>
      </c>
      <c r="L1173" s="489">
        <f t="shared" si="112"/>
        <v>0</v>
      </c>
      <c r="M1173" s="869">
        <f t="shared" si="113"/>
        <v>0</v>
      </c>
    </row>
    <row r="1174" spans="1:13" x14ac:dyDescent="0.2">
      <c r="C1174" s="340"/>
      <c r="D1174" s="207"/>
      <c r="E1174" s="207"/>
      <c r="F1174" s="207">
        <v>0</v>
      </c>
      <c r="G1174" s="599"/>
      <c r="H1174" s="207">
        <f t="shared" si="114"/>
        <v>0</v>
      </c>
      <c r="I1174" s="207">
        <v>0</v>
      </c>
      <c r="J1174" s="207">
        <f t="shared" si="110"/>
        <v>0</v>
      </c>
      <c r="K1174" s="950"/>
      <c r="L1174" s="207">
        <f t="shared" si="112"/>
        <v>0</v>
      </c>
      <c r="M1174" s="950"/>
    </row>
    <row r="1175" spans="1:13" x14ac:dyDescent="0.2">
      <c r="C1175" s="299" t="s">
        <v>329</v>
      </c>
      <c r="D1175" s="196">
        <v>18000</v>
      </c>
      <c r="E1175" s="196"/>
      <c r="F1175" s="495">
        <v>0</v>
      </c>
      <c r="G1175" s="568"/>
      <c r="H1175" s="495">
        <f t="shared" si="114"/>
        <v>18000</v>
      </c>
      <c r="I1175" s="495">
        <v>15180</v>
      </c>
      <c r="J1175" s="495">
        <f t="shared" si="110"/>
        <v>-2820</v>
      </c>
      <c r="K1175" s="888">
        <f t="shared" si="111"/>
        <v>-0.15666666666666668</v>
      </c>
      <c r="L1175" s="495">
        <f t="shared" si="112"/>
        <v>-2820</v>
      </c>
      <c r="M1175" s="888">
        <f t="shared" si="113"/>
        <v>-0.15666666666666668</v>
      </c>
    </row>
    <row r="1176" spans="1:13" x14ac:dyDescent="0.2">
      <c r="C1176" s="299"/>
      <c r="D1176" s="196"/>
      <c r="E1176" s="196"/>
      <c r="F1176" s="495">
        <v>0</v>
      </c>
      <c r="G1176" s="568"/>
      <c r="H1176" s="495">
        <f t="shared" si="114"/>
        <v>0</v>
      </c>
      <c r="I1176" s="495">
        <v>0</v>
      </c>
      <c r="J1176" s="495">
        <f t="shared" si="110"/>
        <v>0</v>
      </c>
      <c r="K1176" s="888"/>
      <c r="L1176" s="495">
        <f t="shared" si="112"/>
        <v>0</v>
      </c>
      <c r="M1176" s="888"/>
    </row>
    <row r="1177" spans="1:13" ht="25.5" x14ac:dyDescent="0.2">
      <c r="A1177" s="459" t="s">
        <v>870</v>
      </c>
      <c r="B1177" s="459" t="s">
        <v>876</v>
      </c>
      <c r="C1177" s="315" t="s">
        <v>791</v>
      </c>
      <c r="D1177" s="197">
        <v>50000</v>
      </c>
      <c r="E1177" s="197"/>
      <c r="F1177" s="496">
        <v>8344</v>
      </c>
      <c r="G1177" s="613"/>
      <c r="H1177" s="496">
        <f t="shared" si="114"/>
        <v>58344</v>
      </c>
      <c r="I1177" s="496">
        <v>50000</v>
      </c>
      <c r="J1177" s="496">
        <f t="shared" si="110"/>
        <v>0</v>
      </c>
      <c r="K1177" s="887">
        <f t="shared" si="111"/>
        <v>0</v>
      </c>
      <c r="L1177" s="496">
        <f t="shared" si="112"/>
        <v>-8344</v>
      </c>
      <c r="M1177" s="887">
        <f t="shared" si="113"/>
        <v>-0.14301384889620183</v>
      </c>
    </row>
    <row r="1178" spans="1:13" x14ac:dyDescent="0.2">
      <c r="C1178" s="299"/>
      <c r="D1178" s="196"/>
      <c r="E1178" s="196"/>
      <c r="F1178" s="495">
        <v>0</v>
      </c>
      <c r="G1178" s="495"/>
      <c r="H1178" s="495">
        <f t="shared" si="114"/>
        <v>0</v>
      </c>
      <c r="I1178" s="495">
        <v>0</v>
      </c>
      <c r="J1178" s="495">
        <f t="shared" si="110"/>
        <v>0</v>
      </c>
      <c r="K1178" s="888"/>
      <c r="L1178" s="495">
        <f t="shared" si="112"/>
        <v>0</v>
      </c>
      <c r="M1178" s="888"/>
    </row>
    <row r="1179" spans="1:13" x14ac:dyDescent="0.2">
      <c r="C1179" s="399"/>
      <c r="D1179" s="248"/>
      <c r="E1179" s="248"/>
      <c r="F1179" s="248">
        <v>0</v>
      </c>
      <c r="G1179" s="248"/>
      <c r="H1179" s="248">
        <f t="shared" si="114"/>
        <v>0</v>
      </c>
      <c r="I1179" s="248">
        <v>0</v>
      </c>
      <c r="J1179" s="248">
        <f t="shared" si="110"/>
        <v>0</v>
      </c>
      <c r="K1179" s="916"/>
      <c r="L1179" s="248">
        <f t="shared" si="112"/>
        <v>0</v>
      </c>
      <c r="M1179" s="916"/>
    </row>
    <row r="1180" spans="1:13" ht="15.75" x14ac:dyDescent="0.2">
      <c r="C1180" s="114" t="s">
        <v>108</v>
      </c>
      <c r="D1180" s="181"/>
      <c r="E1180" s="181"/>
      <c r="F1180" s="181">
        <v>0</v>
      </c>
      <c r="G1180" s="181"/>
      <c r="H1180" s="181">
        <f t="shared" si="114"/>
        <v>0</v>
      </c>
      <c r="I1180" s="181">
        <v>0</v>
      </c>
      <c r="J1180" s="181">
        <f t="shared" si="110"/>
        <v>0</v>
      </c>
      <c r="K1180" s="872"/>
      <c r="L1180" s="181">
        <f t="shared" si="112"/>
        <v>0</v>
      </c>
      <c r="M1180" s="872"/>
    </row>
    <row r="1181" spans="1:13" x14ac:dyDescent="0.2">
      <c r="C1181" s="108"/>
      <c r="D1181" s="179"/>
      <c r="E1181" s="179"/>
      <c r="F1181" s="179">
        <v>0</v>
      </c>
      <c r="G1181" s="179"/>
      <c r="H1181" s="179">
        <f t="shared" si="114"/>
        <v>0</v>
      </c>
      <c r="I1181" s="179">
        <v>0</v>
      </c>
      <c r="J1181" s="179">
        <f t="shared" si="110"/>
        <v>0</v>
      </c>
      <c r="K1181" s="542"/>
      <c r="L1181" s="179">
        <f t="shared" si="112"/>
        <v>0</v>
      </c>
      <c r="M1181" s="542"/>
    </row>
    <row r="1182" spans="1:13" x14ac:dyDescent="0.2">
      <c r="C1182" s="100" t="s">
        <v>193</v>
      </c>
      <c r="D1182" s="170">
        <f>SUM(D1190,D1193,D1195,D1197,D1199)</f>
        <v>4809086</v>
      </c>
      <c r="E1182" s="170"/>
      <c r="F1182" s="488">
        <f>SUM(F1190,F1193,F1195,F1197,F1199)</f>
        <v>334541</v>
      </c>
      <c r="G1182" s="570">
        <f>SUM(G1190,G1193,G1195,G1197,G1199)</f>
        <v>-12610</v>
      </c>
      <c r="H1182" s="488">
        <f t="shared" si="114"/>
        <v>5131017</v>
      </c>
      <c r="I1182" s="488">
        <v>4653907</v>
      </c>
      <c r="J1182" s="488">
        <f t="shared" si="110"/>
        <v>-155179</v>
      </c>
      <c r="K1182" s="865">
        <f t="shared" si="111"/>
        <v>-3.2267877929402798E-2</v>
      </c>
      <c r="L1182" s="488">
        <f t="shared" si="112"/>
        <v>-477110</v>
      </c>
      <c r="M1182" s="865">
        <f t="shared" si="113"/>
        <v>-9.2985464674936763E-2</v>
      </c>
    </row>
    <row r="1183" spans="1:13" x14ac:dyDescent="0.2">
      <c r="C1183" s="101" t="s">
        <v>479</v>
      </c>
      <c r="D1183" s="182">
        <v>89000</v>
      </c>
      <c r="E1183" s="182"/>
      <c r="F1183" s="491"/>
      <c r="G1183" s="571"/>
      <c r="H1183" s="491">
        <f t="shared" si="114"/>
        <v>89000</v>
      </c>
      <c r="I1183" s="491">
        <v>89000</v>
      </c>
      <c r="J1183" s="491">
        <f t="shared" si="110"/>
        <v>0</v>
      </c>
      <c r="K1183" s="866">
        <f t="shared" si="111"/>
        <v>0</v>
      </c>
      <c r="L1183" s="491">
        <f t="shared" si="112"/>
        <v>0</v>
      </c>
      <c r="M1183" s="866">
        <f t="shared" si="113"/>
        <v>0</v>
      </c>
    </row>
    <row r="1184" spans="1:13" x14ac:dyDescent="0.2">
      <c r="C1184" s="107" t="s">
        <v>116</v>
      </c>
      <c r="D1184" s="183">
        <f>SUM(D1185:D1187)</f>
        <v>4809086</v>
      </c>
      <c r="E1184" s="183"/>
      <c r="F1184" s="183">
        <f>SUM(F1185:F1187)</f>
        <v>334541</v>
      </c>
      <c r="G1184" s="570">
        <f>SUM(G1185:G1187)</f>
        <v>-12610</v>
      </c>
      <c r="H1184" s="183">
        <f t="shared" si="114"/>
        <v>5131017</v>
      </c>
      <c r="I1184" s="183">
        <v>4653907</v>
      </c>
      <c r="J1184" s="183">
        <f t="shared" si="110"/>
        <v>-155179</v>
      </c>
      <c r="K1184" s="528">
        <f t="shared" si="111"/>
        <v>-3.2267877929402798E-2</v>
      </c>
      <c r="L1184" s="183">
        <f t="shared" si="112"/>
        <v>-477110</v>
      </c>
      <c r="M1184" s="528">
        <f t="shared" si="113"/>
        <v>-9.2985464674936763E-2</v>
      </c>
    </row>
    <row r="1185" spans="1:13" s="486" customFormat="1" x14ac:dyDescent="0.2">
      <c r="A1185" s="503"/>
      <c r="B1185" s="503"/>
      <c r="C1185" s="102" t="s">
        <v>117</v>
      </c>
      <c r="D1185" s="182">
        <f>'2.2 OMATULUD'!B436</f>
        <v>9600</v>
      </c>
      <c r="E1185" s="182"/>
      <c r="F1185" s="491"/>
      <c r="G1185" s="571"/>
      <c r="H1185" s="491">
        <f t="shared" si="114"/>
        <v>9600</v>
      </c>
      <c r="I1185" s="491">
        <v>9600</v>
      </c>
      <c r="J1185" s="491">
        <f t="shared" si="110"/>
        <v>0</v>
      </c>
      <c r="K1185" s="866">
        <f t="shared" si="111"/>
        <v>0</v>
      </c>
      <c r="L1185" s="491">
        <f t="shared" si="112"/>
        <v>0</v>
      </c>
      <c r="M1185" s="866">
        <f t="shared" si="113"/>
        <v>0</v>
      </c>
    </row>
    <row r="1186" spans="1:13" x14ac:dyDescent="0.2">
      <c r="C1186" s="668" t="s">
        <v>0</v>
      </c>
      <c r="D1186" s="491"/>
      <c r="E1186" s="491"/>
      <c r="F1186" s="491"/>
      <c r="G1186" s="571"/>
      <c r="H1186" s="491">
        <f t="shared" si="114"/>
        <v>0</v>
      </c>
      <c r="I1186" s="491">
        <v>90382</v>
      </c>
      <c r="J1186" s="491">
        <f t="shared" si="110"/>
        <v>90382</v>
      </c>
      <c r="K1186" s="866"/>
      <c r="L1186" s="491">
        <f t="shared" si="112"/>
        <v>90382</v>
      </c>
      <c r="M1186" s="866"/>
    </row>
    <row r="1187" spans="1:13" s="6" customFormat="1" x14ac:dyDescent="0.2">
      <c r="A1187" s="503"/>
      <c r="B1187" s="503"/>
      <c r="C1187" s="95" t="s">
        <v>118</v>
      </c>
      <c r="D1187" s="182">
        <f>D1182-D1185</f>
        <v>4799486</v>
      </c>
      <c r="E1187" s="182"/>
      <c r="F1187" s="491">
        <f>F1182-F1185</f>
        <v>334541</v>
      </c>
      <c r="G1187" s="571">
        <f>G1182-G1185</f>
        <v>-12610</v>
      </c>
      <c r="H1187" s="491">
        <f t="shared" si="114"/>
        <v>5121417</v>
      </c>
      <c r="I1187" s="491">
        <v>4553925</v>
      </c>
      <c r="J1187" s="491">
        <f t="shared" si="110"/>
        <v>-245561</v>
      </c>
      <c r="K1187" s="866">
        <f t="shared" si="111"/>
        <v>-5.1164020480526456E-2</v>
      </c>
      <c r="L1187" s="491">
        <f t="shared" si="112"/>
        <v>-567492</v>
      </c>
      <c r="M1187" s="866">
        <f t="shared" si="113"/>
        <v>-0.11080761437703666</v>
      </c>
    </row>
    <row r="1188" spans="1:13" x14ac:dyDescent="0.2">
      <c r="A1188" s="459"/>
      <c r="B1188" s="459"/>
      <c r="C1188" s="473" t="s">
        <v>909</v>
      </c>
      <c r="D1188" s="474">
        <f>D1191</f>
        <v>2342883</v>
      </c>
      <c r="E1188" s="474"/>
      <c r="F1188" s="474">
        <f>F1191</f>
        <v>122853</v>
      </c>
      <c r="G1188" s="572">
        <f>G1191</f>
        <v>-9425</v>
      </c>
      <c r="H1188" s="474">
        <f t="shared" si="114"/>
        <v>2456311</v>
      </c>
      <c r="I1188" s="474">
        <v>2809770</v>
      </c>
      <c r="J1188" s="474">
        <f t="shared" si="110"/>
        <v>466887</v>
      </c>
      <c r="K1188" s="867">
        <f t="shared" si="111"/>
        <v>0.1992788372274672</v>
      </c>
      <c r="L1188" s="474">
        <f t="shared" si="112"/>
        <v>353459</v>
      </c>
      <c r="M1188" s="867">
        <f t="shared" si="113"/>
        <v>0.14389830929389641</v>
      </c>
    </row>
    <row r="1189" spans="1:13" x14ac:dyDescent="0.2">
      <c r="C1189" s="108"/>
      <c r="D1189" s="179"/>
      <c r="E1189" s="179"/>
      <c r="F1189" s="179">
        <v>0</v>
      </c>
      <c r="G1189" s="577">
        <v>0</v>
      </c>
      <c r="H1189" s="179">
        <f t="shared" si="114"/>
        <v>0</v>
      </c>
      <c r="I1189" s="179">
        <v>0</v>
      </c>
      <c r="J1189" s="179">
        <f t="shared" si="110"/>
        <v>0</v>
      </c>
      <c r="K1189" s="542"/>
      <c r="L1189" s="179">
        <f t="shared" si="112"/>
        <v>0</v>
      </c>
      <c r="M1189" s="542"/>
    </row>
    <row r="1190" spans="1:13" x14ac:dyDescent="0.2">
      <c r="A1190" s="459" t="s">
        <v>879</v>
      </c>
      <c r="B1190" s="459" t="s">
        <v>880</v>
      </c>
      <c r="C1190" s="307" t="s">
        <v>108</v>
      </c>
      <c r="D1190" s="202">
        <f>3821130-509744</f>
        <v>3311386</v>
      </c>
      <c r="E1190" s="202"/>
      <c r="F1190" s="493">
        <v>164378</v>
      </c>
      <c r="G1190" s="601">
        <v>-12610</v>
      </c>
      <c r="H1190" s="493">
        <f t="shared" si="114"/>
        <v>3463154</v>
      </c>
      <c r="I1190" s="493">
        <v>3940942</v>
      </c>
      <c r="J1190" s="493">
        <f t="shared" si="110"/>
        <v>629556</v>
      </c>
      <c r="K1190" s="868">
        <f t="shared" si="111"/>
        <v>0.1901185787461806</v>
      </c>
      <c r="L1190" s="493">
        <f t="shared" si="112"/>
        <v>477788</v>
      </c>
      <c r="M1190" s="868">
        <f t="shared" si="113"/>
        <v>0.13796325546019611</v>
      </c>
    </row>
    <row r="1191" spans="1:13" x14ac:dyDescent="0.2">
      <c r="A1191" s="459"/>
      <c r="B1191" s="459"/>
      <c r="C1191" s="308" t="s">
        <v>119</v>
      </c>
      <c r="D1191" s="489">
        <f>2719568-376685</f>
        <v>2342883</v>
      </c>
      <c r="E1191" s="145"/>
      <c r="F1191" s="489">
        <v>122853</v>
      </c>
      <c r="G1191" s="781">
        <v>-9425</v>
      </c>
      <c r="H1191" s="489">
        <f t="shared" si="114"/>
        <v>2456311</v>
      </c>
      <c r="I1191" s="489">
        <v>2809770</v>
      </c>
      <c r="J1191" s="489">
        <f t="shared" si="110"/>
        <v>466887</v>
      </c>
      <c r="K1191" s="869">
        <f t="shared" si="111"/>
        <v>0.1992788372274672</v>
      </c>
      <c r="L1191" s="489">
        <f t="shared" si="112"/>
        <v>353459</v>
      </c>
      <c r="M1191" s="869">
        <f t="shared" si="113"/>
        <v>0.14389830929389641</v>
      </c>
    </row>
    <row r="1192" spans="1:13" x14ac:dyDescent="0.2">
      <c r="A1192" s="459"/>
      <c r="B1192" s="459"/>
      <c r="C1192" s="308"/>
      <c r="D1192" s="145"/>
      <c r="E1192" s="145"/>
      <c r="F1192" s="489">
        <v>0</v>
      </c>
      <c r="G1192" s="567">
        <v>0</v>
      </c>
      <c r="H1192" s="489">
        <f t="shared" si="114"/>
        <v>0</v>
      </c>
      <c r="I1192" s="489">
        <v>0</v>
      </c>
      <c r="J1192" s="489">
        <f t="shared" si="110"/>
        <v>0</v>
      </c>
      <c r="K1192" s="869"/>
      <c r="L1192" s="489">
        <f t="shared" si="112"/>
        <v>0</v>
      </c>
      <c r="M1192" s="869"/>
    </row>
    <row r="1193" spans="1:13" x14ac:dyDescent="0.2">
      <c r="A1193" s="459" t="s">
        <v>879</v>
      </c>
      <c r="B1193" s="459" t="s">
        <v>880</v>
      </c>
      <c r="C1193" s="307" t="s">
        <v>413</v>
      </c>
      <c r="D1193" s="202">
        <f>497400-425400</f>
        <v>72000</v>
      </c>
      <c r="E1193" s="202"/>
      <c r="F1193" s="493">
        <v>0</v>
      </c>
      <c r="G1193" s="601">
        <v>0</v>
      </c>
      <c r="H1193" s="493">
        <f t="shared" si="114"/>
        <v>72000</v>
      </c>
      <c r="I1193" s="493">
        <v>77000</v>
      </c>
      <c r="J1193" s="493">
        <f t="shared" si="110"/>
        <v>5000</v>
      </c>
      <c r="K1193" s="868">
        <f t="shared" si="111"/>
        <v>6.9444444444444448E-2</v>
      </c>
      <c r="L1193" s="493">
        <f t="shared" si="112"/>
        <v>5000</v>
      </c>
      <c r="M1193" s="868">
        <f t="shared" si="113"/>
        <v>6.9444444444444448E-2</v>
      </c>
    </row>
    <row r="1194" spans="1:13" x14ac:dyDescent="0.2">
      <c r="A1194" s="459"/>
      <c r="B1194" s="459"/>
      <c r="C1194" s="307"/>
      <c r="D1194" s="202"/>
      <c r="E1194" s="202"/>
      <c r="F1194" s="493">
        <v>0</v>
      </c>
      <c r="G1194" s="601">
        <v>0</v>
      </c>
      <c r="H1194" s="493">
        <f t="shared" si="114"/>
        <v>0</v>
      </c>
      <c r="I1194" s="493">
        <v>0</v>
      </c>
      <c r="J1194" s="493">
        <f t="shared" si="110"/>
        <v>0</v>
      </c>
      <c r="K1194" s="868"/>
      <c r="L1194" s="493">
        <f t="shared" si="112"/>
        <v>0</v>
      </c>
      <c r="M1194" s="868"/>
    </row>
    <row r="1195" spans="1:13" x14ac:dyDescent="0.2">
      <c r="A1195" s="459" t="s">
        <v>879</v>
      </c>
      <c r="B1195" s="459" t="s">
        <v>880</v>
      </c>
      <c r="C1195" s="307" t="s">
        <v>414</v>
      </c>
      <c r="D1195" s="202">
        <f>273200-189000</f>
        <v>84200</v>
      </c>
      <c r="E1195" s="202"/>
      <c r="F1195" s="493">
        <v>0</v>
      </c>
      <c r="G1195" s="601">
        <v>0</v>
      </c>
      <c r="H1195" s="493">
        <f t="shared" si="114"/>
        <v>84200</v>
      </c>
      <c r="I1195" s="493">
        <v>61200</v>
      </c>
      <c r="J1195" s="493">
        <f t="shared" si="110"/>
        <v>-23000</v>
      </c>
      <c r="K1195" s="868">
        <f t="shared" si="111"/>
        <v>-0.27315914489311166</v>
      </c>
      <c r="L1195" s="493">
        <f t="shared" si="112"/>
        <v>-23000</v>
      </c>
      <c r="M1195" s="868">
        <f t="shared" si="113"/>
        <v>-0.27315914489311166</v>
      </c>
    </row>
    <row r="1196" spans="1:13" x14ac:dyDescent="0.2">
      <c r="C1196" s="112"/>
      <c r="D1196" s="170"/>
      <c r="E1196" s="170"/>
      <c r="F1196" s="488">
        <v>0</v>
      </c>
      <c r="G1196" s="570">
        <v>0</v>
      </c>
      <c r="H1196" s="488">
        <f t="shared" si="114"/>
        <v>0</v>
      </c>
      <c r="I1196" s="488">
        <v>0</v>
      </c>
      <c r="J1196" s="488">
        <f t="shared" si="110"/>
        <v>0</v>
      </c>
      <c r="K1196" s="865"/>
      <c r="L1196" s="488">
        <f t="shared" si="112"/>
        <v>0</v>
      </c>
      <c r="M1196" s="865"/>
    </row>
    <row r="1197" spans="1:13" x14ac:dyDescent="0.2">
      <c r="A1197" s="459" t="s">
        <v>864</v>
      </c>
      <c r="B1197" s="459" t="s">
        <v>880</v>
      </c>
      <c r="C1197" s="104" t="s">
        <v>415</v>
      </c>
      <c r="D1197" s="172">
        <v>241500</v>
      </c>
      <c r="E1197" s="172"/>
      <c r="F1197" s="172">
        <v>0</v>
      </c>
      <c r="G1197" s="574">
        <v>0</v>
      </c>
      <c r="H1197" s="172">
        <f t="shared" si="114"/>
        <v>241500</v>
      </c>
      <c r="I1197" s="172">
        <v>274765</v>
      </c>
      <c r="J1197" s="172">
        <f t="shared" si="110"/>
        <v>33265</v>
      </c>
      <c r="K1197" s="524">
        <f t="shared" si="111"/>
        <v>0.1377432712215321</v>
      </c>
      <c r="L1197" s="172">
        <f t="shared" si="112"/>
        <v>33265</v>
      </c>
      <c r="M1197" s="524">
        <f t="shared" si="113"/>
        <v>0.1377432712215321</v>
      </c>
    </row>
    <row r="1198" spans="1:13" x14ac:dyDescent="0.2">
      <c r="C1198" s="115"/>
      <c r="D1198" s="178"/>
      <c r="E1198" s="178"/>
      <c r="F1198" s="178">
        <v>0</v>
      </c>
      <c r="G1198" s="656">
        <v>0</v>
      </c>
      <c r="H1198" s="178">
        <f t="shared" si="114"/>
        <v>0</v>
      </c>
      <c r="I1198" s="178">
        <v>0</v>
      </c>
      <c r="J1198" s="178">
        <f t="shared" si="110"/>
        <v>0</v>
      </c>
      <c r="K1198" s="953"/>
      <c r="L1198" s="178">
        <f t="shared" si="112"/>
        <v>0</v>
      </c>
      <c r="M1198" s="953"/>
    </row>
    <row r="1199" spans="1:13" x14ac:dyDescent="0.2">
      <c r="A1199" s="459" t="s">
        <v>864</v>
      </c>
      <c r="B1199" s="459" t="s">
        <v>880</v>
      </c>
      <c r="C1199" s="115" t="s">
        <v>1061</v>
      </c>
      <c r="D1199" s="178">
        <v>1100000</v>
      </c>
      <c r="E1199" s="178"/>
      <c r="F1199" s="178">
        <v>170163</v>
      </c>
      <c r="G1199" s="656"/>
      <c r="H1199" s="178">
        <f t="shared" si="114"/>
        <v>1270163</v>
      </c>
      <c r="I1199" s="178">
        <v>300000</v>
      </c>
      <c r="J1199" s="178">
        <f t="shared" si="110"/>
        <v>-800000</v>
      </c>
      <c r="K1199" s="953">
        <f t="shared" si="111"/>
        <v>-0.72727272727272729</v>
      </c>
      <c r="L1199" s="178">
        <f t="shared" si="112"/>
        <v>-970163</v>
      </c>
      <c r="M1199" s="953">
        <f t="shared" si="113"/>
        <v>-0.76380984172897493</v>
      </c>
    </row>
    <row r="1200" spans="1:13" x14ac:dyDescent="0.2">
      <c r="C1200" s="352"/>
      <c r="D1200" s="186"/>
      <c r="E1200" s="186"/>
      <c r="F1200" s="186">
        <v>0</v>
      </c>
      <c r="G1200" s="186"/>
      <c r="H1200" s="186">
        <f t="shared" si="114"/>
        <v>0</v>
      </c>
      <c r="I1200" s="186">
        <v>0</v>
      </c>
      <c r="J1200" s="186">
        <f t="shared" si="110"/>
        <v>0</v>
      </c>
      <c r="K1200" s="917"/>
      <c r="L1200" s="186">
        <f t="shared" si="112"/>
        <v>0</v>
      </c>
      <c r="M1200" s="917"/>
    </row>
    <row r="1201" spans="1:13" x14ac:dyDescent="0.2">
      <c r="C1201" s="108"/>
      <c r="D1201" s="179"/>
      <c r="E1201" s="179"/>
      <c r="F1201" s="179">
        <v>0</v>
      </c>
      <c r="G1201" s="179"/>
      <c r="H1201" s="179">
        <f t="shared" si="114"/>
        <v>0</v>
      </c>
      <c r="I1201" s="179">
        <v>0</v>
      </c>
      <c r="J1201" s="179">
        <f t="shared" si="110"/>
        <v>0</v>
      </c>
      <c r="K1201" s="542"/>
      <c r="L1201" s="179">
        <f t="shared" si="112"/>
        <v>0</v>
      </c>
      <c r="M1201" s="542"/>
    </row>
    <row r="1202" spans="1:13" ht="15.75" x14ac:dyDescent="0.2">
      <c r="C1202" s="289" t="s">
        <v>112</v>
      </c>
      <c r="D1202" s="176"/>
      <c r="E1202" s="176"/>
      <c r="F1202" s="176">
        <v>0</v>
      </c>
      <c r="G1202" s="176"/>
      <c r="H1202" s="176">
        <f t="shared" si="114"/>
        <v>0</v>
      </c>
      <c r="I1202" s="176">
        <v>0</v>
      </c>
      <c r="J1202" s="176">
        <f t="shared" si="110"/>
        <v>0</v>
      </c>
      <c r="K1202" s="906"/>
      <c r="L1202" s="176">
        <f t="shared" si="112"/>
        <v>0</v>
      </c>
      <c r="M1202" s="906"/>
    </row>
    <row r="1203" spans="1:13" x14ac:dyDescent="0.2">
      <c r="C1203" s="100"/>
      <c r="D1203" s="170"/>
      <c r="E1203" s="170"/>
      <c r="F1203" s="488">
        <v>0</v>
      </c>
      <c r="G1203" s="488"/>
      <c r="H1203" s="488">
        <f t="shared" si="114"/>
        <v>0</v>
      </c>
      <c r="I1203" s="488">
        <v>0</v>
      </c>
      <c r="J1203" s="488">
        <f t="shared" si="110"/>
        <v>0</v>
      </c>
      <c r="K1203" s="865"/>
      <c r="L1203" s="488">
        <f t="shared" si="112"/>
        <v>0</v>
      </c>
      <c r="M1203" s="865"/>
    </row>
    <row r="1204" spans="1:13" x14ac:dyDescent="0.2">
      <c r="C1204" s="100" t="s">
        <v>193</v>
      </c>
      <c r="D1204" s="170">
        <f>SUM(D1211,D1214,D1216,D1218,D1220,D1222)</f>
        <v>4973896</v>
      </c>
      <c r="E1204" s="170"/>
      <c r="F1204" s="488">
        <f>SUM(F1211,F1214,F1216,F1218,F1220,F1222)</f>
        <v>236436</v>
      </c>
      <c r="G1204" s="570">
        <f>SUM(G1211,G1214,G1216,G1218,G1220,G1222)</f>
        <v>-65087</v>
      </c>
      <c r="H1204" s="488">
        <f t="shared" si="114"/>
        <v>5145245</v>
      </c>
      <c r="I1204" s="488">
        <v>6211454</v>
      </c>
      <c r="J1204" s="488">
        <f t="shared" si="110"/>
        <v>1237558</v>
      </c>
      <c r="K1204" s="865">
        <f t="shared" si="111"/>
        <v>0.24881059032999484</v>
      </c>
      <c r="L1204" s="488">
        <f t="shared" si="112"/>
        <v>1066209</v>
      </c>
      <c r="M1204" s="865">
        <f t="shared" si="113"/>
        <v>0.20722220224692897</v>
      </c>
    </row>
    <row r="1205" spans="1:13" x14ac:dyDescent="0.2">
      <c r="C1205" s="102" t="s">
        <v>479</v>
      </c>
      <c r="D1205" s="182">
        <v>300</v>
      </c>
      <c r="E1205" s="182"/>
      <c r="F1205" s="491"/>
      <c r="G1205" s="571"/>
      <c r="H1205" s="491">
        <f t="shared" si="114"/>
        <v>300</v>
      </c>
      <c r="I1205" s="491">
        <v>3000</v>
      </c>
      <c r="J1205" s="491">
        <f t="shared" si="110"/>
        <v>2700</v>
      </c>
      <c r="K1205" s="866">
        <f t="shared" si="111"/>
        <v>9</v>
      </c>
      <c r="L1205" s="491">
        <f t="shared" si="112"/>
        <v>2700</v>
      </c>
      <c r="M1205" s="866">
        <f t="shared" si="113"/>
        <v>9</v>
      </c>
    </row>
    <row r="1206" spans="1:13" s="486" customFormat="1" x14ac:dyDescent="0.2">
      <c r="A1206" s="503"/>
      <c r="B1206" s="503"/>
      <c r="C1206" s="107" t="s">
        <v>116</v>
      </c>
      <c r="D1206" s="183">
        <f>SUM(D1208)</f>
        <v>4973896</v>
      </c>
      <c r="E1206" s="183"/>
      <c r="F1206" s="183">
        <f>SUM(F1208)</f>
        <v>236436</v>
      </c>
      <c r="G1206" s="570">
        <f>SUM(G1208)</f>
        <v>-65087</v>
      </c>
      <c r="H1206" s="183">
        <f t="shared" si="114"/>
        <v>5145245</v>
      </c>
      <c r="I1206" s="183">
        <v>6211454</v>
      </c>
      <c r="J1206" s="183">
        <f t="shared" si="110"/>
        <v>1237558</v>
      </c>
      <c r="K1206" s="528">
        <f t="shared" si="111"/>
        <v>0.24881059032999484</v>
      </c>
      <c r="L1206" s="183">
        <f t="shared" si="112"/>
        <v>1066209</v>
      </c>
      <c r="M1206" s="528">
        <f t="shared" si="113"/>
        <v>0.20722220224692897</v>
      </c>
    </row>
    <row r="1207" spans="1:13" x14ac:dyDescent="0.2">
      <c r="C1207" s="102" t="s">
        <v>117</v>
      </c>
      <c r="D1207" s="183"/>
      <c r="E1207" s="183"/>
      <c r="F1207" s="183"/>
      <c r="G1207" s="570"/>
      <c r="H1207" s="183">
        <f t="shared" si="114"/>
        <v>0</v>
      </c>
      <c r="I1207" s="183">
        <v>20000</v>
      </c>
      <c r="J1207" s="183">
        <f t="shared" si="110"/>
        <v>20000</v>
      </c>
      <c r="K1207" s="528"/>
      <c r="L1207" s="183">
        <f t="shared" si="112"/>
        <v>20000</v>
      </c>
      <c r="M1207" s="528"/>
    </row>
    <row r="1208" spans="1:13" s="6" customFormat="1" x14ac:dyDescent="0.2">
      <c r="A1208" s="503"/>
      <c r="B1208" s="503"/>
      <c r="C1208" s="95" t="s">
        <v>118</v>
      </c>
      <c r="D1208" s="182">
        <f>D1204</f>
        <v>4973896</v>
      </c>
      <c r="E1208" s="182"/>
      <c r="F1208" s="491">
        <f>F1204</f>
        <v>236436</v>
      </c>
      <c r="G1208" s="571">
        <f>G1204</f>
        <v>-65087</v>
      </c>
      <c r="H1208" s="491">
        <f t="shared" si="114"/>
        <v>5145245</v>
      </c>
      <c r="I1208" s="491">
        <v>6191454</v>
      </c>
      <c r="J1208" s="491">
        <f t="shared" ref="J1208:J1271" si="115">I1208-D1208</f>
        <v>1217558</v>
      </c>
      <c r="K1208" s="866">
        <f t="shared" ref="K1208:K1271" si="116">J1208/D1208</f>
        <v>0.24478959753078874</v>
      </c>
      <c r="L1208" s="491">
        <f t="shared" ref="L1208:L1271" si="117">I1208-H1208</f>
        <v>1046209</v>
      </c>
      <c r="M1208" s="866">
        <f t="shared" ref="M1208:M1271" si="118">L1208/H1208</f>
        <v>0.20333511815277991</v>
      </c>
    </row>
    <row r="1209" spans="1:13" x14ac:dyDescent="0.2">
      <c r="A1209" s="459"/>
      <c r="B1209" s="459"/>
      <c r="C1209" s="473" t="s">
        <v>909</v>
      </c>
      <c r="D1209" s="474">
        <f>D1212</f>
        <v>2768031</v>
      </c>
      <c r="E1209" s="474"/>
      <c r="F1209" s="474">
        <f>F1212</f>
        <v>119448</v>
      </c>
      <c r="G1209" s="572">
        <f>G1212</f>
        <v>-41171</v>
      </c>
      <c r="H1209" s="474">
        <f t="shared" si="114"/>
        <v>2846308</v>
      </c>
      <c r="I1209" s="474">
        <v>3441202</v>
      </c>
      <c r="J1209" s="474">
        <f t="shared" si="115"/>
        <v>673171</v>
      </c>
      <c r="K1209" s="867">
        <f t="shared" si="116"/>
        <v>0.24319489196472149</v>
      </c>
      <c r="L1209" s="474">
        <f t="shared" si="117"/>
        <v>594894</v>
      </c>
      <c r="M1209" s="867">
        <f t="shared" si="118"/>
        <v>0.20900549062153498</v>
      </c>
    </row>
    <row r="1210" spans="1:13" x14ac:dyDescent="0.2">
      <c r="C1210" s="108"/>
      <c r="D1210" s="179"/>
      <c r="E1210" s="179"/>
      <c r="F1210" s="179">
        <v>0</v>
      </c>
      <c r="G1210" s="577"/>
      <c r="H1210" s="179">
        <f t="shared" si="114"/>
        <v>0</v>
      </c>
      <c r="I1210" s="179">
        <v>0</v>
      </c>
      <c r="J1210" s="179">
        <f t="shared" si="115"/>
        <v>0</v>
      </c>
      <c r="K1210" s="542"/>
      <c r="L1210" s="179">
        <f t="shared" si="117"/>
        <v>0</v>
      </c>
      <c r="M1210" s="542"/>
    </row>
    <row r="1211" spans="1:13" x14ac:dyDescent="0.2">
      <c r="A1211" s="459" t="s">
        <v>881</v>
      </c>
      <c r="B1211" s="459" t="s">
        <v>882</v>
      </c>
      <c r="C1211" s="315" t="s">
        <v>112</v>
      </c>
      <c r="D1211" s="197">
        <v>4392266</v>
      </c>
      <c r="E1211" s="197"/>
      <c r="F1211" s="496">
        <v>182131</v>
      </c>
      <c r="G1211" s="613">
        <v>-65087</v>
      </c>
      <c r="H1211" s="496">
        <f t="shared" si="114"/>
        <v>4509310</v>
      </c>
      <c r="I1211" s="496">
        <v>4757419</v>
      </c>
      <c r="J1211" s="496">
        <f t="shared" si="115"/>
        <v>365153</v>
      </c>
      <c r="K1211" s="887">
        <f t="shared" si="116"/>
        <v>8.3135447625439812E-2</v>
      </c>
      <c r="L1211" s="496">
        <f t="shared" si="117"/>
        <v>248109</v>
      </c>
      <c r="M1211" s="887">
        <f t="shared" si="118"/>
        <v>5.5021499963409035E-2</v>
      </c>
    </row>
    <row r="1212" spans="1:13" x14ac:dyDescent="0.2">
      <c r="C1212" s="308" t="s">
        <v>119</v>
      </c>
      <c r="D1212" s="489">
        <v>2768031</v>
      </c>
      <c r="E1212" s="145"/>
      <c r="F1212" s="489">
        <v>119448</v>
      </c>
      <c r="G1212" s="781">
        <v>-41171</v>
      </c>
      <c r="H1212" s="489">
        <f t="shared" si="114"/>
        <v>2846308</v>
      </c>
      <c r="I1212" s="489">
        <v>3019258</v>
      </c>
      <c r="J1212" s="489">
        <f t="shared" si="115"/>
        <v>251227</v>
      </c>
      <c r="K1212" s="869">
        <f t="shared" si="116"/>
        <v>9.0760182960378702E-2</v>
      </c>
      <c r="L1212" s="489">
        <f t="shared" si="117"/>
        <v>172950</v>
      </c>
      <c r="M1212" s="869">
        <f t="shared" si="118"/>
        <v>6.0762925164809994E-2</v>
      </c>
    </row>
    <row r="1213" spans="1:13" x14ac:dyDescent="0.2">
      <c r="C1213" s="393"/>
      <c r="D1213" s="182"/>
      <c r="E1213" s="182"/>
      <c r="F1213" s="491">
        <v>0</v>
      </c>
      <c r="G1213" s="491"/>
      <c r="H1213" s="491">
        <f t="shared" si="114"/>
        <v>0</v>
      </c>
      <c r="I1213" s="491">
        <v>0</v>
      </c>
      <c r="J1213" s="491">
        <f t="shared" si="115"/>
        <v>0</v>
      </c>
      <c r="K1213" s="866"/>
      <c r="L1213" s="491">
        <f t="shared" si="117"/>
        <v>0</v>
      </c>
      <c r="M1213" s="866"/>
    </row>
    <row r="1214" spans="1:13" x14ac:dyDescent="0.2">
      <c r="A1214" s="459" t="s">
        <v>881</v>
      </c>
      <c r="B1214" s="459" t="s">
        <v>882</v>
      </c>
      <c r="C1214" s="315" t="s">
        <v>398</v>
      </c>
      <c r="D1214" s="197">
        <v>239580</v>
      </c>
      <c r="E1214" s="197"/>
      <c r="F1214" s="496">
        <v>42905</v>
      </c>
      <c r="G1214" s="496"/>
      <c r="H1214" s="496">
        <f t="shared" ref="H1214:H1277" si="119">D1214+E1214+F1214+G1214</f>
        <v>282485</v>
      </c>
      <c r="I1214" s="496">
        <v>282485</v>
      </c>
      <c r="J1214" s="496">
        <f t="shared" si="115"/>
        <v>42905</v>
      </c>
      <c r="K1214" s="887">
        <f t="shared" si="116"/>
        <v>0.17908423073712329</v>
      </c>
      <c r="L1214" s="496">
        <f t="shared" si="117"/>
        <v>0</v>
      </c>
      <c r="M1214" s="887">
        <f t="shared" si="118"/>
        <v>0</v>
      </c>
    </row>
    <row r="1215" spans="1:13" x14ac:dyDescent="0.2">
      <c r="A1215" s="459"/>
      <c r="B1215" s="459"/>
      <c r="C1215" s="315"/>
      <c r="D1215" s="197"/>
      <c r="E1215" s="197"/>
      <c r="F1215" s="496">
        <v>0</v>
      </c>
      <c r="G1215" s="496"/>
      <c r="H1215" s="496">
        <f t="shared" si="119"/>
        <v>0</v>
      </c>
      <c r="I1215" s="496">
        <v>0</v>
      </c>
      <c r="J1215" s="496">
        <f t="shared" si="115"/>
        <v>0</v>
      </c>
      <c r="K1215" s="887"/>
      <c r="L1215" s="496">
        <f t="shared" si="117"/>
        <v>0</v>
      </c>
      <c r="M1215" s="887"/>
    </row>
    <row r="1216" spans="1:13" ht="25.5" x14ac:dyDescent="0.2">
      <c r="A1216" s="459" t="s">
        <v>881</v>
      </c>
      <c r="B1216" s="459" t="s">
        <v>882</v>
      </c>
      <c r="C1216" s="315" t="s">
        <v>571</v>
      </c>
      <c r="D1216" s="197">
        <v>190000</v>
      </c>
      <c r="E1216" s="197"/>
      <c r="F1216" s="496">
        <v>0</v>
      </c>
      <c r="G1216" s="496"/>
      <c r="H1216" s="496">
        <f t="shared" si="119"/>
        <v>190000</v>
      </c>
      <c r="I1216" s="496">
        <v>190000</v>
      </c>
      <c r="J1216" s="496">
        <f t="shared" si="115"/>
        <v>0</v>
      </c>
      <c r="K1216" s="887">
        <f t="shared" si="116"/>
        <v>0</v>
      </c>
      <c r="L1216" s="496">
        <f t="shared" si="117"/>
        <v>0</v>
      </c>
      <c r="M1216" s="887">
        <f t="shared" si="118"/>
        <v>0</v>
      </c>
    </row>
    <row r="1217" spans="1:13" x14ac:dyDescent="0.2">
      <c r="A1217" s="459"/>
      <c r="B1217" s="459"/>
      <c r="C1217" s="340"/>
      <c r="D1217" s="207"/>
      <c r="E1217" s="207"/>
      <c r="F1217" s="207">
        <v>0</v>
      </c>
      <c r="G1217" s="207"/>
      <c r="H1217" s="207">
        <f t="shared" si="119"/>
        <v>0</v>
      </c>
      <c r="I1217" s="207">
        <v>0</v>
      </c>
      <c r="J1217" s="207">
        <f t="shared" si="115"/>
        <v>0</v>
      </c>
      <c r="K1217" s="950"/>
      <c r="L1217" s="207">
        <f t="shared" si="117"/>
        <v>0</v>
      </c>
      <c r="M1217" s="950"/>
    </row>
    <row r="1218" spans="1:13" x14ac:dyDescent="0.2">
      <c r="A1218" s="459" t="s">
        <v>881</v>
      </c>
      <c r="B1218" s="459" t="s">
        <v>882</v>
      </c>
      <c r="C1218" s="400" t="s">
        <v>430</v>
      </c>
      <c r="D1218" s="197">
        <v>56300</v>
      </c>
      <c r="E1218" s="197"/>
      <c r="F1218" s="496">
        <v>11400</v>
      </c>
      <c r="G1218" s="496"/>
      <c r="H1218" s="496">
        <f t="shared" si="119"/>
        <v>67700</v>
      </c>
      <c r="I1218" s="496">
        <v>56300</v>
      </c>
      <c r="J1218" s="496">
        <f t="shared" si="115"/>
        <v>0</v>
      </c>
      <c r="K1218" s="887">
        <f t="shared" si="116"/>
        <v>0</v>
      </c>
      <c r="L1218" s="496">
        <f t="shared" si="117"/>
        <v>-11400</v>
      </c>
      <c r="M1218" s="887">
        <f t="shared" si="118"/>
        <v>-0.16838995568685378</v>
      </c>
    </row>
    <row r="1219" spans="1:13" x14ac:dyDescent="0.2">
      <c r="A1219" s="459"/>
      <c r="B1219" s="459"/>
      <c r="C1219" s="308"/>
      <c r="D1219" s="145"/>
      <c r="E1219" s="145"/>
      <c r="F1219" s="489">
        <v>0</v>
      </c>
      <c r="G1219" s="489"/>
      <c r="H1219" s="489">
        <f t="shared" si="119"/>
        <v>0</v>
      </c>
      <c r="I1219" s="489">
        <v>0</v>
      </c>
      <c r="J1219" s="489">
        <f t="shared" si="115"/>
        <v>0</v>
      </c>
      <c r="K1219" s="869"/>
      <c r="L1219" s="489">
        <f t="shared" si="117"/>
        <v>0</v>
      </c>
      <c r="M1219" s="869"/>
    </row>
    <row r="1220" spans="1:13" x14ac:dyDescent="0.2">
      <c r="A1220" s="459" t="s">
        <v>881</v>
      </c>
      <c r="B1220" s="459" t="s">
        <v>882</v>
      </c>
      <c r="C1220" s="307" t="s">
        <v>352</v>
      </c>
      <c r="D1220" s="202">
        <v>57000</v>
      </c>
      <c r="E1220" s="202"/>
      <c r="F1220" s="493">
        <v>0</v>
      </c>
      <c r="G1220" s="493"/>
      <c r="H1220" s="493">
        <f t="shared" si="119"/>
        <v>57000</v>
      </c>
      <c r="I1220" s="493">
        <v>57000</v>
      </c>
      <c r="J1220" s="493">
        <f t="shared" si="115"/>
        <v>0</v>
      </c>
      <c r="K1220" s="868">
        <f t="shared" si="116"/>
        <v>0</v>
      </c>
      <c r="L1220" s="493">
        <f t="shared" si="117"/>
        <v>0</v>
      </c>
      <c r="M1220" s="868">
        <f t="shared" si="118"/>
        <v>0</v>
      </c>
    </row>
    <row r="1221" spans="1:13" x14ac:dyDescent="0.2">
      <c r="A1221" s="459"/>
      <c r="B1221" s="459"/>
      <c r="C1221" s="308"/>
      <c r="D1221" s="145"/>
      <c r="E1221" s="145"/>
      <c r="F1221" s="489">
        <v>0</v>
      </c>
      <c r="G1221" s="489"/>
      <c r="H1221" s="489">
        <f t="shared" si="119"/>
        <v>0</v>
      </c>
      <c r="I1221" s="489">
        <v>0</v>
      </c>
      <c r="J1221" s="489">
        <f t="shared" si="115"/>
        <v>0</v>
      </c>
      <c r="K1221" s="869"/>
      <c r="L1221" s="489">
        <f t="shared" si="117"/>
        <v>0</v>
      </c>
      <c r="M1221" s="869"/>
    </row>
    <row r="1222" spans="1:13" x14ac:dyDescent="0.2">
      <c r="A1222" s="459" t="s">
        <v>881</v>
      </c>
      <c r="B1222" s="459" t="s">
        <v>882</v>
      </c>
      <c r="C1222" s="338" t="s">
        <v>524</v>
      </c>
      <c r="D1222" s="179">
        <v>38750</v>
      </c>
      <c r="E1222" s="179"/>
      <c r="F1222" s="179">
        <v>0</v>
      </c>
      <c r="G1222" s="179"/>
      <c r="H1222" s="179">
        <f t="shared" si="119"/>
        <v>38750</v>
      </c>
      <c r="I1222" s="179">
        <v>38750</v>
      </c>
      <c r="J1222" s="179">
        <f t="shared" si="115"/>
        <v>0</v>
      </c>
      <c r="K1222" s="542">
        <f t="shared" si="116"/>
        <v>0</v>
      </c>
      <c r="L1222" s="179">
        <f t="shared" si="117"/>
        <v>0</v>
      </c>
      <c r="M1222" s="542">
        <f t="shared" si="118"/>
        <v>0</v>
      </c>
    </row>
    <row r="1223" spans="1:13" s="503" customFormat="1" x14ac:dyDescent="0.2">
      <c r="C1223" s="401"/>
      <c r="D1223" s="249"/>
      <c r="E1223" s="249"/>
      <c r="F1223" s="249">
        <v>0</v>
      </c>
      <c r="G1223" s="249"/>
      <c r="H1223" s="249">
        <f t="shared" si="119"/>
        <v>0</v>
      </c>
      <c r="I1223" s="249">
        <v>0</v>
      </c>
      <c r="J1223" s="249">
        <f t="shared" si="115"/>
        <v>0</v>
      </c>
      <c r="K1223" s="954"/>
      <c r="L1223" s="249">
        <f t="shared" si="117"/>
        <v>0</v>
      </c>
      <c r="M1223" s="954"/>
    </row>
    <row r="1224" spans="1:13" s="486" customFormat="1" x14ac:dyDescent="0.2">
      <c r="A1224" s="459" t="s">
        <v>864</v>
      </c>
      <c r="B1224" s="459" t="s">
        <v>882</v>
      </c>
      <c r="C1224" s="742" t="s">
        <v>1020</v>
      </c>
      <c r="D1224" s="743"/>
      <c r="E1224" s="743"/>
      <c r="F1224" s="743">
        <v>0</v>
      </c>
      <c r="G1224" s="743"/>
      <c r="H1224" s="743">
        <f t="shared" si="119"/>
        <v>0</v>
      </c>
      <c r="I1224" s="743">
        <v>829500</v>
      </c>
      <c r="J1224" s="743">
        <f t="shared" si="115"/>
        <v>829500</v>
      </c>
      <c r="K1224" s="955"/>
      <c r="L1224" s="743">
        <f t="shared" si="117"/>
        <v>829500</v>
      </c>
      <c r="M1224" s="955"/>
    </row>
    <row r="1225" spans="1:13" x14ac:dyDescent="0.2">
      <c r="C1225" s="573" t="s">
        <v>119</v>
      </c>
      <c r="D1225" s="743"/>
      <c r="E1225" s="743"/>
      <c r="F1225" s="743"/>
      <c r="G1225" s="743"/>
      <c r="H1225" s="743">
        <f t="shared" si="119"/>
        <v>0</v>
      </c>
      <c r="I1225" s="743">
        <v>421944</v>
      </c>
      <c r="J1225" s="743">
        <f t="shared" si="115"/>
        <v>421944</v>
      </c>
      <c r="K1225" s="955"/>
      <c r="L1225" s="743">
        <f t="shared" si="117"/>
        <v>421944</v>
      </c>
      <c r="M1225" s="955"/>
    </row>
    <row r="1226" spans="1:13" x14ac:dyDescent="0.2">
      <c r="C1226" s="401"/>
      <c r="D1226" s="249"/>
      <c r="E1226" s="249"/>
      <c r="F1226" s="249">
        <v>0</v>
      </c>
      <c r="G1226" s="249"/>
      <c r="H1226" s="249">
        <f t="shared" si="119"/>
        <v>0</v>
      </c>
      <c r="I1226" s="249">
        <v>0</v>
      </c>
      <c r="J1226" s="249">
        <f t="shared" si="115"/>
        <v>0</v>
      </c>
      <c r="K1226" s="954"/>
      <c r="L1226" s="249">
        <f t="shared" si="117"/>
        <v>0</v>
      </c>
      <c r="M1226" s="954"/>
    </row>
    <row r="1227" spans="1:13" ht="15.75" x14ac:dyDescent="0.2">
      <c r="C1227" s="289" t="s">
        <v>270</v>
      </c>
      <c r="D1227" s="176"/>
      <c r="E1227" s="176"/>
      <c r="F1227" s="176">
        <v>0</v>
      </c>
      <c r="G1227" s="176"/>
      <c r="H1227" s="176">
        <f t="shared" si="119"/>
        <v>0</v>
      </c>
      <c r="I1227" s="176">
        <v>0</v>
      </c>
      <c r="J1227" s="176">
        <f t="shared" si="115"/>
        <v>0</v>
      </c>
      <c r="K1227" s="906"/>
      <c r="L1227" s="176">
        <f t="shared" si="117"/>
        <v>0</v>
      </c>
      <c r="M1227" s="906"/>
    </row>
    <row r="1228" spans="1:13" x14ac:dyDescent="0.2">
      <c r="C1228" s="108"/>
      <c r="D1228" s="179"/>
      <c r="E1228" s="179"/>
      <c r="F1228" s="179">
        <v>0</v>
      </c>
      <c r="G1228" s="179"/>
      <c r="H1228" s="179">
        <f t="shared" si="119"/>
        <v>0</v>
      </c>
      <c r="I1228" s="179">
        <v>0</v>
      </c>
      <c r="J1228" s="179">
        <f t="shared" si="115"/>
        <v>0</v>
      </c>
      <c r="K1228" s="542"/>
      <c r="L1228" s="179">
        <f t="shared" si="117"/>
        <v>0</v>
      </c>
      <c r="M1228" s="542"/>
    </row>
    <row r="1229" spans="1:13" x14ac:dyDescent="0.2">
      <c r="C1229" s="100" t="s">
        <v>193</v>
      </c>
      <c r="D1229" s="170">
        <f>D1236+D1240+D1246+D1256+D1260</f>
        <v>2591729</v>
      </c>
      <c r="E1229" s="488">
        <f>E1236+E1240+E1246+E1256+E1260</f>
        <v>37326</v>
      </c>
      <c r="F1229" s="488">
        <f>F1236+F1240+F1246+F1256+F1260</f>
        <v>-12774</v>
      </c>
      <c r="G1229" s="570">
        <f>G1236+G1240+G1246+G1256+G1260</f>
        <v>-2208</v>
      </c>
      <c r="H1229" s="488">
        <f t="shared" si="119"/>
        <v>2614073</v>
      </c>
      <c r="I1229" s="488">
        <v>2687764</v>
      </c>
      <c r="J1229" s="488">
        <f t="shared" si="115"/>
        <v>96035</v>
      </c>
      <c r="K1229" s="865">
        <f t="shared" si="116"/>
        <v>3.7054414253959424E-2</v>
      </c>
      <c r="L1229" s="488">
        <f t="shared" si="117"/>
        <v>73691</v>
      </c>
      <c r="M1229" s="865">
        <f t="shared" si="118"/>
        <v>2.8190107927360864E-2</v>
      </c>
    </row>
    <row r="1230" spans="1:13" x14ac:dyDescent="0.2">
      <c r="C1230" s="101" t="s">
        <v>479</v>
      </c>
      <c r="D1230" s="182">
        <v>250000</v>
      </c>
      <c r="E1230" s="491"/>
      <c r="F1230" s="491"/>
      <c r="G1230" s="571"/>
      <c r="H1230" s="491">
        <f t="shared" si="119"/>
        <v>250000</v>
      </c>
      <c r="I1230" s="491">
        <v>250000</v>
      </c>
      <c r="J1230" s="491">
        <f t="shared" si="115"/>
        <v>0</v>
      </c>
      <c r="K1230" s="866">
        <f t="shared" si="116"/>
        <v>0</v>
      </c>
      <c r="L1230" s="491">
        <f t="shared" si="117"/>
        <v>0</v>
      </c>
      <c r="M1230" s="866">
        <f t="shared" si="118"/>
        <v>0</v>
      </c>
    </row>
    <row r="1231" spans="1:13" x14ac:dyDescent="0.2">
      <c r="C1231" s="107" t="s">
        <v>116</v>
      </c>
      <c r="D1231" s="183">
        <f>D1232+D1233</f>
        <v>2591729</v>
      </c>
      <c r="E1231" s="183">
        <f>E1232+E1233</f>
        <v>37326</v>
      </c>
      <c r="F1231" s="183">
        <f>F1232+F1233</f>
        <v>-12774</v>
      </c>
      <c r="G1231" s="570">
        <f>G1232+G1233</f>
        <v>-2208</v>
      </c>
      <c r="H1231" s="183">
        <f t="shared" si="119"/>
        <v>2614073</v>
      </c>
      <c r="I1231" s="183">
        <v>2687764</v>
      </c>
      <c r="J1231" s="183">
        <f t="shared" si="115"/>
        <v>96035</v>
      </c>
      <c r="K1231" s="528">
        <f t="shared" si="116"/>
        <v>3.7054414253959424E-2</v>
      </c>
      <c r="L1231" s="183">
        <f t="shared" si="117"/>
        <v>73691</v>
      </c>
      <c r="M1231" s="528">
        <f t="shared" si="118"/>
        <v>2.8190107927360864E-2</v>
      </c>
    </row>
    <row r="1232" spans="1:13" x14ac:dyDescent="0.2">
      <c r="C1232" s="102" t="s">
        <v>117</v>
      </c>
      <c r="D1232" s="182">
        <f>'2.2 OMATULUD'!B451</f>
        <v>476820</v>
      </c>
      <c r="E1232" s="491"/>
      <c r="F1232" s="491">
        <v>-37640</v>
      </c>
      <c r="G1232" s="571">
        <v>-14800</v>
      </c>
      <c r="H1232" s="491">
        <f t="shared" si="119"/>
        <v>424380</v>
      </c>
      <c r="I1232" s="491">
        <v>483330</v>
      </c>
      <c r="J1232" s="491">
        <f t="shared" si="115"/>
        <v>6510</v>
      </c>
      <c r="K1232" s="866">
        <f t="shared" si="116"/>
        <v>1.3652950799043665E-2</v>
      </c>
      <c r="L1232" s="491">
        <f t="shared" si="117"/>
        <v>58950</v>
      </c>
      <c r="M1232" s="866">
        <f t="shared" si="118"/>
        <v>0.13890852537819878</v>
      </c>
    </row>
    <row r="1233" spans="1:13" s="6" customFormat="1" x14ac:dyDescent="0.2">
      <c r="A1233" s="503"/>
      <c r="B1233" s="503"/>
      <c r="C1233" s="95" t="s">
        <v>118</v>
      </c>
      <c r="D1233" s="182">
        <f>D1229-D1232</f>
        <v>2114909</v>
      </c>
      <c r="E1233" s="491">
        <f>E1229-E1232</f>
        <v>37326</v>
      </c>
      <c r="F1233" s="491">
        <f>F1229-F1232</f>
        <v>24866</v>
      </c>
      <c r="G1233" s="571">
        <f>G1229-G1232</f>
        <v>12592</v>
      </c>
      <c r="H1233" s="491">
        <f t="shared" si="119"/>
        <v>2189693</v>
      </c>
      <c r="I1233" s="491">
        <v>2204434</v>
      </c>
      <c r="J1233" s="491">
        <f t="shared" si="115"/>
        <v>89525</v>
      </c>
      <c r="K1233" s="866">
        <f t="shared" si="116"/>
        <v>4.2330426510076791E-2</v>
      </c>
      <c r="L1233" s="491">
        <f t="shared" si="117"/>
        <v>14741</v>
      </c>
      <c r="M1233" s="866">
        <f t="shared" si="118"/>
        <v>6.7319939370496231E-3</v>
      </c>
    </row>
    <row r="1234" spans="1:13" x14ac:dyDescent="0.2">
      <c r="A1234" s="459"/>
      <c r="B1234" s="459"/>
      <c r="C1234" s="473" t="s">
        <v>909</v>
      </c>
      <c r="D1234" s="474">
        <f>D1238+D1244+D1250+D1254+D1258+D1263</f>
        <v>1193469</v>
      </c>
      <c r="E1234" s="474">
        <f>E1238+E1244+E1250+E1254+E1258+E1263</f>
        <v>27897</v>
      </c>
      <c r="F1234" s="474">
        <f>F1238+F1244+F1250+F1254+F1258+F1263</f>
        <v>-17543</v>
      </c>
      <c r="G1234" s="572">
        <f>G1238+G1244+G1250+G1254+G1258+G1263</f>
        <v>-14536</v>
      </c>
      <c r="H1234" s="474">
        <f t="shared" si="119"/>
        <v>1189287</v>
      </c>
      <c r="I1234" s="474">
        <v>1266669</v>
      </c>
      <c r="J1234" s="474">
        <f t="shared" si="115"/>
        <v>73200</v>
      </c>
      <c r="K1234" s="867">
        <f t="shared" si="116"/>
        <v>6.1333809256880575E-2</v>
      </c>
      <c r="L1234" s="474">
        <f t="shared" si="117"/>
        <v>77382</v>
      </c>
      <c r="M1234" s="867">
        <f t="shared" si="118"/>
        <v>6.5065875604458812E-2</v>
      </c>
    </row>
    <row r="1235" spans="1:13" x14ac:dyDescent="0.2">
      <c r="C1235" s="95"/>
      <c r="D1235" s="182"/>
      <c r="E1235" s="182"/>
      <c r="F1235" s="491">
        <v>0</v>
      </c>
      <c r="G1235" s="571">
        <v>0</v>
      </c>
      <c r="H1235" s="491">
        <f t="shared" si="119"/>
        <v>0</v>
      </c>
      <c r="I1235" s="491">
        <v>0</v>
      </c>
      <c r="J1235" s="491">
        <f t="shared" si="115"/>
        <v>0</v>
      </c>
      <c r="K1235" s="866"/>
      <c r="L1235" s="491">
        <f t="shared" si="117"/>
        <v>0</v>
      </c>
      <c r="M1235" s="866"/>
    </row>
    <row r="1236" spans="1:13" ht="15" x14ac:dyDescent="0.2">
      <c r="A1236" s="459" t="s">
        <v>864</v>
      </c>
      <c r="B1236" s="459" t="s">
        <v>270</v>
      </c>
      <c r="C1236" s="402" t="s">
        <v>198</v>
      </c>
      <c r="D1236" s="212">
        <f>D1237</f>
        <v>99085</v>
      </c>
      <c r="E1236" s="212"/>
      <c r="F1236" s="497">
        <f>F1237</f>
        <v>-4100</v>
      </c>
      <c r="G1236" s="669">
        <f>G1237</f>
        <v>0</v>
      </c>
      <c r="H1236" s="497">
        <f t="shared" si="119"/>
        <v>94985</v>
      </c>
      <c r="I1236" s="497">
        <v>95320</v>
      </c>
      <c r="J1236" s="497">
        <f t="shared" si="115"/>
        <v>-3765</v>
      </c>
      <c r="K1236" s="956">
        <f t="shared" si="116"/>
        <v>-3.7997678760660042E-2</v>
      </c>
      <c r="L1236" s="497">
        <f t="shared" si="117"/>
        <v>335</v>
      </c>
      <c r="M1236" s="956">
        <f t="shared" si="118"/>
        <v>3.5268726641048587E-3</v>
      </c>
    </row>
    <row r="1237" spans="1:13" x14ac:dyDescent="0.2">
      <c r="A1237" s="459"/>
      <c r="B1237" s="459"/>
      <c r="C1237" s="292" t="s">
        <v>720</v>
      </c>
      <c r="D1237" s="118">
        <v>99085</v>
      </c>
      <c r="E1237" s="118"/>
      <c r="F1237" s="477">
        <v>-4100</v>
      </c>
      <c r="G1237" s="566"/>
      <c r="H1237" s="477">
        <f t="shared" si="119"/>
        <v>94985</v>
      </c>
      <c r="I1237" s="477">
        <v>95320</v>
      </c>
      <c r="J1237" s="477">
        <f t="shared" si="115"/>
        <v>-3765</v>
      </c>
      <c r="K1237" s="909">
        <f t="shared" si="116"/>
        <v>-3.7997678760660042E-2</v>
      </c>
      <c r="L1237" s="477">
        <f t="shared" si="117"/>
        <v>335</v>
      </c>
      <c r="M1237" s="909">
        <f t="shared" si="118"/>
        <v>3.5268726641048587E-3</v>
      </c>
    </row>
    <row r="1238" spans="1:13" x14ac:dyDescent="0.2">
      <c r="A1238" s="459"/>
      <c r="B1238" s="459"/>
      <c r="C1238" s="98" t="s">
        <v>119</v>
      </c>
      <c r="D1238" s="489">
        <v>46050</v>
      </c>
      <c r="E1238" s="145"/>
      <c r="F1238" s="489">
        <v>0</v>
      </c>
      <c r="G1238" s="567">
        <v>0</v>
      </c>
      <c r="H1238" s="489">
        <f t="shared" si="119"/>
        <v>46050</v>
      </c>
      <c r="I1238" s="489">
        <v>46050</v>
      </c>
      <c r="J1238" s="489">
        <f t="shared" si="115"/>
        <v>0</v>
      </c>
      <c r="K1238" s="869">
        <f t="shared" si="116"/>
        <v>0</v>
      </c>
      <c r="L1238" s="489">
        <f t="shared" si="117"/>
        <v>0</v>
      </c>
      <c r="M1238" s="869">
        <f t="shared" si="118"/>
        <v>0</v>
      </c>
    </row>
    <row r="1239" spans="1:13" x14ac:dyDescent="0.2">
      <c r="A1239" s="459"/>
      <c r="B1239" s="459"/>
      <c r="C1239" s="403"/>
      <c r="D1239" s="214"/>
      <c r="E1239" s="214"/>
      <c r="F1239" s="214">
        <v>0</v>
      </c>
      <c r="G1239" s="670">
        <v>0</v>
      </c>
      <c r="H1239" s="214">
        <f t="shared" si="119"/>
        <v>0</v>
      </c>
      <c r="I1239" s="214">
        <v>0</v>
      </c>
      <c r="J1239" s="214">
        <f t="shared" si="115"/>
        <v>0</v>
      </c>
      <c r="K1239" s="957"/>
      <c r="L1239" s="214">
        <f t="shared" si="117"/>
        <v>0</v>
      </c>
      <c r="M1239" s="957"/>
    </row>
    <row r="1240" spans="1:13" ht="15" x14ac:dyDescent="0.2">
      <c r="A1240" s="459" t="s">
        <v>865</v>
      </c>
      <c r="B1240" s="459" t="s">
        <v>270</v>
      </c>
      <c r="C1240" s="402" t="s">
        <v>200</v>
      </c>
      <c r="D1240" s="212">
        <f>D1241</f>
        <v>128870</v>
      </c>
      <c r="E1240" s="212"/>
      <c r="F1240" s="497">
        <f>F1241</f>
        <v>-24280</v>
      </c>
      <c r="G1240" s="669">
        <f>G1241</f>
        <v>-2000</v>
      </c>
      <c r="H1240" s="497">
        <f t="shared" si="119"/>
        <v>102590</v>
      </c>
      <c r="I1240" s="497">
        <v>118710</v>
      </c>
      <c r="J1240" s="497">
        <f t="shared" si="115"/>
        <v>-10160</v>
      </c>
      <c r="K1240" s="956">
        <f t="shared" si="116"/>
        <v>-7.8839140218825168E-2</v>
      </c>
      <c r="L1240" s="497">
        <f t="shared" si="117"/>
        <v>16120</v>
      </c>
      <c r="M1240" s="956">
        <f t="shared" si="118"/>
        <v>0.15713032459304024</v>
      </c>
    </row>
    <row r="1241" spans="1:13" x14ac:dyDescent="0.2">
      <c r="A1241" s="459"/>
      <c r="B1241" s="459"/>
      <c r="C1241" s="292" t="s">
        <v>201</v>
      </c>
      <c r="D1241" s="118">
        <f>D1243</f>
        <v>128870</v>
      </c>
      <c r="E1241" s="118"/>
      <c r="F1241" s="477">
        <f>F1243</f>
        <v>-24280</v>
      </c>
      <c r="G1241" s="566">
        <f>G1243</f>
        <v>-2000</v>
      </c>
      <c r="H1241" s="477">
        <f t="shared" si="119"/>
        <v>102590</v>
      </c>
      <c r="I1241" s="477">
        <v>118710</v>
      </c>
      <c r="J1241" s="477">
        <f t="shared" si="115"/>
        <v>-10160</v>
      </c>
      <c r="K1241" s="909">
        <f t="shared" si="116"/>
        <v>-7.8839140218825168E-2</v>
      </c>
      <c r="L1241" s="477">
        <f t="shared" si="117"/>
        <v>16120</v>
      </c>
      <c r="M1241" s="909">
        <f t="shared" si="118"/>
        <v>0.15713032459304024</v>
      </c>
    </row>
    <row r="1242" spans="1:13" x14ac:dyDescent="0.2">
      <c r="A1242" s="459"/>
      <c r="B1242" s="459"/>
      <c r="C1242" s="404" t="s">
        <v>196</v>
      </c>
      <c r="D1242" s="193"/>
      <c r="E1242" s="193"/>
      <c r="F1242" s="481">
        <v>0</v>
      </c>
      <c r="G1242" s="655">
        <v>0</v>
      </c>
      <c r="H1242" s="481">
        <f t="shared" si="119"/>
        <v>0</v>
      </c>
      <c r="I1242" s="481">
        <v>0</v>
      </c>
      <c r="J1242" s="481">
        <f t="shared" si="115"/>
        <v>0</v>
      </c>
      <c r="K1242" s="923"/>
      <c r="L1242" s="481">
        <f t="shared" si="117"/>
        <v>0</v>
      </c>
      <c r="M1242" s="923"/>
    </row>
    <row r="1243" spans="1:13" x14ac:dyDescent="0.2">
      <c r="A1243" s="459"/>
      <c r="B1243" s="459"/>
      <c r="C1243" s="106" t="s">
        <v>721</v>
      </c>
      <c r="D1243" s="194">
        <v>128870</v>
      </c>
      <c r="E1243" s="194"/>
      <c r="F1243" s="194">
        <v>-24280</v>
      </c>
      <c r="G1243" s="194">
        <v>-2000</v>
      </c>
      <c r="H1243" s="194">
        <f t="shared" si="119"/>
        <v>102590</v>
      </c>
      <c r="I1243" s="194">
        <v>118710</v>
      </c>
      <c r="J1243" s="194">
        <f t="shared" si="115"/>
        <v>-10160</v>
      </c>
      <c r="K1243" s="887">
        <f t="shared" si="116"/>
        <v>-7.8839140218825168E-2</v>
      </c>
      <c r="L1243" s="194">
        <f t="shared" si="117"/>
        <v>16120</v>
      </c>
      <c r="M1243" s="887">
        <f t="shared" si="118"/>
        <v>0.15713032459304024</v>
      </c>
    </row>
    <row r="1244" spans="1:13" s="56" customFormat="1" x14ac:dyDescent="0.2">
      <c r="A1244" s="459"/>
      <c r="B1244" s="459"/>
      <c r="C1244" s="405" t="s">
        <v>119</v>
      </c>
      <c r="D1244" s="495">
        <v>75120</v>
      </c>
      <c r="E1244" s="196"/>
      <c r="F1244" s="495">
        <v>-10000</v>
      </c>
      <c r="G1244" s="568"/>
      <c r="H1244" s="495">
        <f t="shared" si="119"/>
        <v>65120</v>
      </c>
      <c r="I1244" s="495">
        <v>75120</v>
      </c>
      <c r="J1244" s="495">
        <f t="shared" si="115"/>
        <v>0</v>
      </c>
      <c r="K1244" s="888">
        <f t="shared" si="116"/>
        <v>0</v>
      </c>
      <c r="L1244" s="495">
        <f t="shared" si="117"/>
        <v>10000</v>
      </c>
      <c r="M1244" s="888">
        <f t="shared" si="118"/>
        <v>0.15356265356265356</v>
      </c>
    </row>
    <row r="1245" spans="1:13" x14ac:dyDescent="0.2">
      <c r="A1245" s="459"/>
      <c r="B1245" s="459"/>
      <c r="C1245" s="287"/>
      <c r="D1245" s="445"/>
      <c r="E1245" s="445"/>
      <c r="F1245" s="445">
        <v>0</v>
      </c>
      <c r="G1245" s="671">
        <v>0</v>
      </c>
      <c r="H1245" s="445">
        <f t="shared" si="119"/>
        <v>0</v>
      </c>
      <c r="I1245" s="445">
        <v>0</v>
      </c>
      <c r="J1245" s="445">
        <f t="shared" si="115"/>
        <v>0</v>
      </c>
      <c r="K1245" s="958"/>
      <c r="L1245" s="445">
        <f t="shared" si="117"/>
        <v>0</v>
      </c>
      <c r="M1245" s="958"/>
    </row>
    <row r="1246" spans="1:13" ht="15" x14ac:dyDescent="0.2">
      <c r="A1246" s="459" t="s">
        <v>866</v>
      </c>
      <c r="B1246" s="459" t="s">
        <v>270</v>
      </c>
      <c r="C1246" s="402" t="s">
        <v>203</v>
      </c>
      <c r="D1246" s="212">
        <f>D1249+D1253</f>
        <v>401293</v>
      </c>
      <c r="E1246" s="497">
        <v>9212</v>
      </c>
      <c r="F1246" s="497">
        <f>F1249+F1253</f>
        <v>19660</v>
      </c>
      <c r="G1246" s="669">
        <f>G1249+G1253</f>
        <v>-800</v>
      </c>
      <c r="H1246" s="497">
        <f t="shared" si="119"/>
        <v>429365</v>
      </c>
      <c r="I1246" s="497">
        <v>417480</v>
      </c>
      <c r="J1246" s="497">
        <f t="shared" si="115"/>
        <v>16187</v>
      </c>
      <c r="K1246" s="956">
        <f t="shared" si="116"/>
        <v>4.0337110290984392E-2</v>
      </c>
      <c r="L1246" s="497">
        <f t="shared" si="117"/>
        <v>-11885</v>
      </c>
      <c r="M1246" s="956">
        <f t="shared" si="118"/>
        <v>-2.7680411770870939E-2</v>
      </c>
    </row>
    <row r="1247" spans="1:13" ht="25.5" x14ac:dyDescent="0.2">
      <c r="C1247" s="407" t="s">
        <v>271</v>
      </c>
      <c r="D1247" s="185">
        <f>D1249+D1253</f>
        <v>401293</v>
      </c>
      <c r="E1247" s="494">
        <v>5118</v>
      </c>
      <c r="F1247" s="494">
        <f>F1249+F1253</f>
        <v>19660</v>
      </c>
      <c r="G1247" s="652">
        <f>G1249+G1253</f>
        <v>-800</v>
      </c>
      <c r="H1247" s="494">
        <f t="shared" si="119"/>
        <v>425271</v>
      </c>
      <c r="I1247" s="494">
        <v>417480</v>
      </c>
      <c r="J1247" s="494">
        <f t="shared" si="115"/>
        <v>16187</v>
      </c>
      <c r="K1247" s="945">
        <f t="shared" si="116"/>
        <v>4.0337110290984392E-2</v>
      </c>
      <c r="L1247" s="494">
        <f t="shared" si="117"/>
        <v>-7791</v>
      </c>
      <c r="M1247" s="945">
        <f t="shared" si="118"/>
        <v>-1.8320082958866227E-2</v>
      </c>
    </row>
    <row r="1248" spans="1:13" x14ac:dyDescent="0.2">
      <c r="C1248" s="408" t="s">
        <v>196</v>
      </c>
      <c r="D1248" s="170"/>
      <c r="E1248" s="488"/>
      <c r="F1248" s="488">
        <v>0</v>
      </c>
      <c r="G1248" s="570">
        <v>0</v>
      </c>
      <c r="H1248" s="488">
        <f t="shared" si="119"/>
        <v>0</v>
      </c>
      <c r="I1248" s="488">
        <v>0</v>
      </c>
      <c r="J1248" s="488">
        <f t="shared" si="115"/>
        <v>0</v>
      </c>
      <c r="K1248" s="865"/>
      <c r="L1248" s="488">
        <f t="shared" si="117"/>
        <v>0</v>
      </c>
      <c r="M1248" s="865"/>
    </row>
    <row r="1249" spans="1:13" x14ac:dyDescent="0.2">
      <c r="C1249" s="378" t="s">
        <v>722</v>
      </c>
      <c r="D1249" s="202">
        <v>212048</v>
      </c>
      <c r="E1249" s="493">
        <v>5118</v>
      </c>
      <c r="F1249" s="493">
        <v>19660</v>
      </c>
      <c r="G1249" s="601">
        <v>-800</v>
      </c>
      <c r="H1249" s="493">
        <f t="shared" si="119"/>
        <v>236026</v>
      </c>
      <c r="I1249" s="493">
        <v>223290</v>
      </c>
      <c r="J1249" s="493">
        <f t="shared" si="115"/>
        <v>11242</v>
      </c>
      <c r="K1249" s="868">
        <f t="shared" si="116"/>
        <v>5.3016298196634726E-2</v>
      </c>
      <c r="L1249" s="493">
        <f t="shared" si="117"/>
        <v>-12736</v>
      </c>
      <c r="M1249" s="868">
        <f t="shared" si="118"/>
        <v>-5.3960156931863436E-2</v>
      </c>
    </row>
    <row r="1250" spans="1:13" s="56" customFormat="1" x14ac:dyDescent="0.2">
      <c r="A1250" s="503"/>
      <c r="B1250" s="503"/>
      <c r="C1250" s="103" t="s">
        <v>119</v>
      </c>
      <c r="D1250" s="489">
        <v>136680</v>
      </c>
      <c r="E1250" s="489">
        <v>3825</v>
      </c>
      <c r="F1250" s="489">
        <v>-3990</v>
      </c>
      <c r="G1250" s="567"/>
      <c r="H1250" s="489">
        <f t="shared" si="119"/>
        <v>136515</v>
      </c>
      <c r="I1250" s="489">
        <v>149980</v>
      </c>
      <c r="J1250" s="489">
        <f t="shared" si="115"/>
        <v>13300</v>
      </c>
      <c r="K1250" s="869">
        <f t="shared" si="116"/>
        <v>9.7307579748317233E-2</v>
      </c>
      <c r="L1250" s="489">
        <f t="shared" si="117"/>
        <v>13465</v>
      </c>
      <c r="M1250" s="869">
        <f t="shared" si="118"/>
        <v>9.8633849760099618E-2</v>
      </c>
    </row>
    <row r="1251" spans="1:13" x14ac:dyDescent="0.2">
      <c r="C1251" s="311"/>
      <c r="D1251" s="201"/>
      <c r="E1251" s="489"/>
      <c r="F1251" s="490">
        <v>0</v>
      </c>
      <c r="G1251" s="612">
        <v>0</v>
      </c>
      <c r="H1251" s="490">
        <f t="shared" si="119"/>
        <v>0</v>
      </c>
      <c r="I1251" s="490">
        <v>0</v>
      </c>
      <c r="J1251" s="490">
        <f t="shared" si="115"/>
        <v>0</v>
      </c>
      <c r="K1251" s="914"/>
      <c r="L1251" s="490">
        <f t="shared" si="117"/>
        <v>0</v>
      </c>
      <c r="M1251" s="914"/>
    </row>
    <row r="1252" spans="1:13" x14ac:dyDescent="0.2">
      <c r="C1252" s="408" t="s">
        <v>196</v>
      </c>
      <c r="D1252" s="170"/>
      <c r="E1252" s="489"/>
      <c r="F1252" s="488">
        <v>0</v>
      </c>
      <c r="G1252" s="570">
        <v>0</v>
      </c>
      <c r="H1252" s="488">
        <f t="shared" si="119"/>
        <v>0</v>
      </c>
      <c r="I1252" s="488">
        <v>0</v>
      </c>
      <c r="J1252" s="488">
        <f t="shared" si="115"/>
        <v>0</v>
      </c>
      <c r="K1252" s="865"/>
      <c r="L1252" s="488">
        <f t="shared" si="117"/>
        <v>0</v>
      </c>
      <c r="M1252" s="865"/>
    </row>
    <row r="1253" spans="1:13" x14ac:dyDescent="0.2">
      <c r="C1253" s="378" t="s">
        <v>723</v>
      </c>
      <c r="D1253" s="202">
        <v>189245</v>
      </c>
      <c r="E1253" s="489">
        <v>4094</v>
      </c>
      <c r="F1253" s="493">
        <v>0</v>
      </c>
      <c r="G1253" s="601">
        <v>0</v>
      </c>
      <c r="H1253" s="493">
        <f t="shared" si="119"/>
        <v>193339</v>
      </c>
      <c r="I1253" s="493">
        <v>194190</v>
      </c>
      <c r="J1253" s="493">
        <f t="shared" si="115"/>
        <v>4945</v>
      </c>
      <c r="K1253" s="868">
        <f t="shared" si="116"/>
        <v>2.6130148748976196E-2</v>
      </c>
      <c r="L1253" s="493">
        <f t="shared" si="117"/>
        <v>851</v>
      </c>
      <c r="M1253" s="868">
        <f t="shared" si="118"/>
        <v>4.4015951256601103E-3</v>
      </c>
    </row>
    <row r="1254" spans="1:13" s="56" customFormat="1" x14ac:dyDescent="0.2">
      <c r="A1254" s="503"/>
      <c r="B1254" s="503"/>
      <c r="C1254" s="103" t="s">
        <v>119</v>
      </c>
      <c r="D1254" s="489">
        <v>140045</v>
      </c>
      <c r="E1254" s="498">
        <v>3060</v>
      </c>
      <c r="F1254" s="489">
        <v>0</v>
      </c>
      <c r="G1254" s="567">
        <v>0</v>
      </c>
      <c r="H1254" s="489">
        <f t="shared" si="119"/>
        <v>143105</v>
      </c>
      <c r="I1254" s="489">
        <v>143520</v>
      </c>
      <c r="J1254" s="489">
        <f t="shared" si="115"/>
        <v>3475</v>
      </c>
      <c r="K1254" s="869">
        <f t="shared" si="116"/>
        <v>2.4813452818736835E-2</v>
      </c>
      <c r="L1254" s="489">
        <f t="shared" si="117"/>
        <v>415</v>
      </c>
      <c r="M1254" s="869">
        <f t="shared" si="118"/>
        <v>2.8999685545578421E-3</v>
      </c>
    </row>
    <row r="1255" spans="1:13" x14ac:dyDescent="0.2">
      <c r="C1255" s="409"/>
      <c r="D1255" s="216"/>
      <c r="E1255" s="216"/>
      <c r="F1255" s="216">
        <v>0</v>
      </c>
      <c r="G1255" s="672">
        <v>0</v>
      </c>
      <c r="H1255" s="216">
        <f t="shared" si="119"/>
        <v>0</v>
      </c>
      <c r="I1255" s="216">
        <v>0</v>
      </c>
      <c r="J1255" s="216">
        <f t="shared" si="115"/>
        <v>0</v>
      </c>
      <c r="K1255" s="936"/>
      <c r="L1255" s="216">
        <f t="shared" si="117"/>
        <v>0</v>
      </c>
      <c r="M1255" s="936"/>
    </row>
    <row r="1256" spans="1:13" ht="15" x14ac:dyDescent="0.2">
      <c r="A1256" s="459" t="s">
        <v>870</v>
      </c>
      <c r="B1256" s="459" t="s">
        <v>270</v>
      </c>
      <c r="C1256" s="402" t="s">
        <v>267</v>
      </c>
      <c r="D1256" s="212">
        <f>D1257</f>
        <v>280000</v>
      </c>
      <c r="E1256" s="212"/>
      <c r="F1256" s="497">
        <v>0</v>
      </c>
      <c r="G1256" s="669">
        <v>0</v>
      </c>
      <c r="H1256" s="497">
        <f t="shared" si="119"/>
        <v>280000</v>
      </c>
      <c r="I1256" s="497">
        <v>280000</v>
      </c>
      <c r="J1256" s="497">
        <f t="shared" si="115"/>
        <v>0</v>
      </c>
      <c r="K1256" s="956">
        <f t="shared" si="116"/>
        <v>0</v>
      </c>
      <c r="L1256" s="497">
        <f t="shared" si="117"/>
        <v>0</v>
      </c>
      <c r="M1256" s="956">
        <f t="shared" si="118"/>
        <v>0</v>
      </c>
    </row>
    <row r="1257" spans="1:13" x14ac:dyDescent="0.2">
      <c r="C1257" s="292" t="s">
        <v>268</v>
      </c>
      <c r="D1257" s="118">
        <v>280000</v>
      </c>
      <c r="E1257" s="118"/>
      <c r="F1257" s="477">
        <v>0</v>
      </c>
      <c r="G1257" s="566">
        <v>0</v>
      </c>
      <c r="H1257" s="477">
        <f t="shared" si="119"/>
        <v>280000</v>
      </c>
      <c r="I1257" s="477">
        <v>280000</v>
      </c>
      <c r="J1257" s="477">
        <f t="shared" si="115"/>
        <v>0</v>
      </c>
      <c r="K1257" s="909">
        <f t="shared" si="116"/>
        <v>0</v>
      </c>
      <c r="L1257" s="477">
        <f t="shared" si="117"/>
        <v>0</v>
      </c>
      <c r="M1257" s="909">
        <f t="shared" si="118"/>
        <v>0</v>
      </c>
    </row>
    <row r="1258" spans="1:13" x14ac:dyDescent="0.2">
      <c r="C1258" s="98" t="s">
        <v>119</v>
      </c>
      <c r="D1258" s="489">
        <v>7010</v>
      </c>
      <c r="E1258" s="145"/>
      <c r="F1258" s="489">
        <v>0</v>
      </c>
      <c r="G1258" s="567">
        <v>0</v>
      </c>
      <c r="H1258" s="489">
        <f t="shared" si="119"/>
        <v>7010</v>
      </c>
      <c r="I1258" s="489">
        <v>7010</v>
      </c>
      <c r="J1258" s="489">
        <f t="shared" si="115"/>
        <v>0</v>
      </c>
      <c r="K1258" s="869">
        <f t="shared" si="116"/>
        <v>0</v>
      </c>
      <c r="L1258" s="489">
        <f t="shared" si="117"/>
        <v>0</v>
      </c>
      <c r="M1258" s="869">
        <f t="shared" si="118"/>
        <v>0</v>
      </c>
    </row>
    <row r="1259" spans="1:13" x14ac:dyDescent="0.2">
      <c r="C1259" s="320"/>
      <c r="D1259" s="146"/>
      <c r="E1259" s="146"/>
      <c r="F1259" s="498">
        <v>0</v>
      </c>
      <c r="G1259" s="577">
        <v>0</v>
      </c>
      <c r="H1259" s="498">
        <f t="shared" si="119"/>
        <v>0</v>
      </c>
      <c r="I1259" s="498">
        <v>0</v>
      </c>
      <c r="J1259" s="498">
        <f t="shared" si="115"/>
        <v>0</v>
      </c>
      <c r="K1259" s="524"/>
      <c r="L1259" s="498">
        <f t="shared" si="117"/>
        <v>0</v>
      </c>
      <c r="M1259" s="524"/>
    </row>
    <row r="1260" spans="1:13" x14ac:dyDescent="0.2">
      <c r="C1260" s="117" t="s">
        <v>197</v>
      </c>
      <c r="D1260" s="200">
        <f>D1262+D1265+D1271+D1273+D1275+D1277+D1279+D1282+D1269+D1267</f>
        <v>1682481</v>
      </c>
      <c r="E1260" s="499">
        <f>E1262+E1265+E1271+E1273+E1275+E1277+E1279+E1282+E1269+E1267</f>
        <v>28114</v>
      </c>
      <c r="F1260" s="499">
        <f>F1262+F1265+F1271+F1273+F1275+F1277+F1279+F1282+F1269+F1267</f>
        <v>-4054</v>
      </c>
      <c r="G1260" s="657">
        <f>G1262+G1265+G1271+G1273+G1275+G1277+G1279+G1282+G1269+G1267</f>
        <v>592</v>
      </c>
      <c r="H1260" s="499">
        <f t="shared" si="119"/>
        <v>1707133</v>
      </c>
      <c r="I1260" s="499">
        <v>1776254</v>
      </c>
      <c r="J1260" s="499">
        <f t="shared" si="115"/>
        <v>93773</v>
      </c>
      <c r="K1260" s="948">
        <f t="shared" si="116"/>
        <v>5.5734953321909725E-2</v>
      </c>
      <c r="L1260" s="499">
        <f t="shared" si="117"/>
        <v>69121</v>
      </c>
      <c r="M1260" s="948">
        <f t="shared" si="118"/>
        <v>4.0489522491803508E-2</v>
      </c>
    </row>
    <row r="1261" spans="1:13" x14ac:dyDescent="0.2">
      <c r="C1261" s="117"/>
      <c r="D1261" s="200"/>
      <c r="E1261" s="200"/>
      <c r="F1261" s="499">
        <v>0</v>
      </c>
      <c r="G1261" s="657">
        <v>0</v>
      </c>
      <c r="H1261" s="499">
        <f t="shared" si="119"/>
        <v>0</v>
      </c>
      <c r="I1261" s="499">
        <v>0</v>
      </c>
      <c r="J1261" s="499">
        <f t="shared" si="115"/>
        <v>0</v>
      </c>
      <c r="K1261" s="948"/>
      <c r="L1261" s="499">
        <f t="shared" si="117"/>
        <v>0</v>
      </c>
      <c r="M1261" s="948"/>
    </row>
    <row r="1262" spans="1:13" x14ac:dyDescent="0.2">
      <c r="A1262" s="459" t="s">
        <v>862</v>
      </c>
      <c r="B1262" s="459" t="s">
        <v>270</v>
      </c>
      <c r="C1262" s="307" t="s">
        <v>272</v>
      </c>
      <c r="D1262" s="202">
        <f>1249252-9000</f>
        <v>1240252</v>
      </c>
      <c r="E1262" s="493">
        <v>28114</v>
      </c>
      <c r="F1262" s="493">
        <v>-4754</v>
      </c>
      <c r="G1262" s="601">
        <v>-19408</v>
      </c>
      <c r="H1262" s="493">
        <f t="shared" si="119"/>
        <v>1244204</v>
      </c>
      <c r="I1262" s="493">
        <v>1311854</v>
      </c>
      <c r="J1262" s="493">
        <f t="shared" si="115"/>
        <v>71602</v>
      </c>
      <c r="K1262" s="868">
        <f t="shared" si="116"/>
        <v>5.7731815792274474E-2</v>
      </c>
      <c r="L1262" s="493">
        <f t="shared" si="117"/>
        <v>67650</v>
      </c>
      <c r="M1262" s="868">
        <f t="shared" si="118"/>
        <v>5.43721126117582E-2</v>
      </c>
    </row>
    <row r="1263" spans="1:13" x14ac:dyDescent="0.2">
      <c r="A1263" s="459"/>
      <c r="B1263" s="459"/>
      <c r="C1263" s="308" t="s">
        <v>119</v>
      </c>
      <c r="D1263" s="489">
        <v>788564</v>
      </c>
      <c r="E1263" s="489">
        <v>21012</v>
      </c>
      <c r="F1263" s="489">
        <v>-3553</v>
      </c>
      <c r="G1263" s="781">
        <v>-14536</v>
      </c>
      <c r="H1263" s="567">
        <f t="shared" si="119"/>
        <v>791487</v>
      </c>
      <c r="I1263" s="567">
        <v>844989</v>
      </c>
      <c r="J1263" s="567">
        <f t="shared" si="115"/>
        <v>56425</v>
      </c>
      <c r="K1263" s="878">
        <f t="shared" si="116"/>
        <v>7.1554116089499395E-2</v>
      </c>
      <c r="L1263" s="567">
        <f t="shared" si="117"/>
        <v>53502</v>
      </c>
      <c r="M1263" s="878">
        <f t="shared" si="118"/>
        <v>6.759681460339842E-2</v>
      </c>
    </row>
    <row r="1264" spans="1:13" x14ac:dyDescent="0.2">
      <c r="A1264" s="459"/>
      <c r="B1264" s="459"/>
      <c r="C1264" s="307"/>
      <c r="D1264" s="202"/>
      <c r="E1264" s="202"/>
      <c r="F1264" s="493">
        <v>0</v>
      </c>
      <c r="G1264" s="601">
        <v>0</v>
      </c>
      <c r="H1264" s="493">
        <f t="shared" si="119"/>
        <v>0</v>
      </c>
      <c r="I1264" s="493">
        <v>0</v>
      </c>
      <c r="J1264" s="493">
        <f t="shared" si="115"/>
        <v>0</v>
      </c>
      <c r="K1264" s="868"/>
      <c r="L1264" s="493">
        <f t="shared" si="117"/>
        <v>0</v>
      </c>
      <c r="M1264" s="868"/>
    </row>
    <row r="1265" spans="1:13" x14ac:dyDescent="0.2">
      <c r="A1265" s="459" t="s">
        <v>864</v>
      </c>
      <c r="B1265" s="459" t="s">
        <v>270</v>
      </c>
      <c r="C1265" s="410" t="s">
        <v>510</v>
      </c>
      <c r="D1265" s="213">
        <f>90779+9500</f>
        <v>100279</v>
      </c>
      <c r="E1265" s="213"/>
      <c r="F1265" s="213">
        <v>0</v>
      </c>
      <c r="G1265" s="613">
        <v>25000</v>
      </c>
      <c r="H1265" s="493">
        <f t="shared" si="119"/>
        <v>125279</v>
      </c>
      <c r="I1265" s="493">
        <v>120000</v>
      </c>
      <c r="J1265" s="493">
        <f t="shared" si="115"/>
        <v>19721</v>
      </c>
      <c r="K1265" s="868">
        <f t="shared" si="116"/>
        <v>0.19666131493134156</v>
      </c>
      <c r="L1265" s="493">
        <f t="shared" si="117"/>
        <v>-5279</v>
      </c>
      <c r="M1265" s="868">
        <f t="shared" si="118"/>
        <v>-4.2137948099841158E-2</v>
      </c>
    </row>
    <row r="1266" spans="1:13" x14ac:dyDescent="0.2">
      <c r="A1266" s="459"/>
      <c r="B1266" s="459"/>
      <c r="C1266" s="308"/>
      <c r="D1266" s="145"/>
      <c r="E1266" s="145"/>
      <c r="F1266" s="489">
        <v>0</v>
      </c>
      <c r="G1266" s="567">
        <v>0</v>
      </c>
      <c r="H1266" s="493">
        <f t="shared" si="119"/>
        <v>0</v>
      </c>
      <c r="I1266" s="493">
        <v>0</v>
      </c>
      <c r="J1266" s="493">
        <f t="shared" si="115"/>
        <v>0</v>
      </c>
      <c r="K1266" s="868"/>
      <c r="L1266" s="493">
        <f t="shared" si="117"/>
        <v>0</v>
      </c>
      <c r="M1266" s="868"/>
    </row>
    <row r="1267" spans="1:13" x14ac:dyDescent="0.2">
      <c r="A1267" s="459" t="s">
        <v>864</v>
      </c>
      <c r="B1267" s="459" t="s">
        <v>270</v>
      </c>
      <c r="C1267" s="315" t="s">
        <v>238</v>
      </c>
      <c r="D1267" s="197">
        <v>9200</v>
      </c>
      <c r="E1267" s="197"/>
      <c r="F1267" s="496">
        <v>0</v>
      </c>
      <c r="G1267" s="613">
        <v>0</v>
      </c>
      <c r="H1267" s="493">
        <f t="shared" si="119"/>
        <v>9200</v>
      </c>
      <c r="I1267" s="493">
        <v>9200</v>
      </c>
      <c r="J1267" s="493">
        <f t="shared" si="115"/>
        <v>0</v>
      </c>
      <c r="K1267" s="868">
        <f t="shared" si="116"/>
        <v>0</v>
      </c>
      <c r="L1267" s="493">
        <f t="shared" si="117"/>
        <v>0</v>
      </c>
      <c r="M1267" s="868">
        <f t="shared" si="118"/>
        <v>0</v>
      </c>
    </row>
    <row r="1268" spans="1:13" x14ac:dyDescent="0.2">
      <c r="A1268" s="459"/>
      <c r="B1268" s="459"/>
      <c r="C1268" s="308"/>
      <c r="D1268" s="145"/>
      <c r="E1268" s="145"/>
      <c r="F1268" s="489">
        <v>0</v>
      </c>
      <c r="G1268" s="567">
        <v>0</v>
      </c>
      <c r="H1268" s="493">
        <f t="shared" si="119"/>
        <v>0</v>
      </c>
      <c r="I1268" s="493">
        <v>0</v>
      </c>
      <c r="J1268" s="493">
        <f t="shared" si="115"/>
        <v>0</v>
      </c>
      <c r="K1268" s="868"/>
      <c r="L1268" s="493">
        <f t="shared" si="117"/>
        <v>0</v>
      </c>
      <c r="M1268" s="868"/>
    </row>
    <row r="1269" spans="1:13" x14ac:dyDescent="0.2">
      <c r="A1269" s="459" t="s">
        <v>866</v>
      </c>
      <c r="B1269" s="459" t="s">
        <v>270</v>
      </c>
      <c r="C1269" s="315" t="s">
        <v>273</v>
      </c>
      <c r="D1269" s="197">
        <v>51100</v>
      </c>
      <c r="E1269" s="197"/>
      <c r="F1269" s="496">
        <v>0</v>
      </c>
      <c r="G1269" s="613">
        <v>0</v>
      </c>
      <c r="H1269" s="493">
        <f t="shared" si="119"/>
        <v>51100</v>
      </c>
      <c r="I1269" s="493">
        <v>51100</v>
      </c>
      <c r="J1269" s="493">
        <f t="shared" si="115"/>
        <v>0</v>
      </c>
      <c r="K1269" s="868">
        <f t="shared" si="116"/>
        <v>0</v>
      </c>
      <c r="L1269" s="493">
        <f t="shared" si="117"/>
        <v>0</v>
      </c>
      <c r="M1269" s="868">
        <f t="shared" si="118"/>
        <v>0</v>
      </c>
    </row>
    <row r="1270" spans="1:13" x14ac:dyDescent="0.2">
      <c r="A1270" s="459"/>
      <c r="B1270" s="459"/>
      <c r="C1270" s="338"/>
      <c r="D1270" s="179"/>
      <c r="E1270" s="179"/>
      <c r="F1270" s="179">
        <v>0</v>
      </c>
      <c r="G1270" s="577">
        <v>0</v>
      </c>
      <c r="H1270" s="493">
        <f t="shared" si="119"/>
        <v>0</v>
      </c>
      <c r="I1270" s="493">
        <v>0</v>
      </c>
      <c r="J1270" s="493">
        <f t="shared" si="115"/>
        <v>0</v>
      </c>
      <c r="K1270" s="868"/>
      <c r="L1270" s="493">
        <f t="shared" si="117"/>
        <v>0</v>
      </c>
      <c r="M1270" s="868"/>
    </row>
    <row r="1271" spans="1:13" x14ac:dyDescent="0.2">
      <c r="A1271" s="459" t="s">
        <v>870</v>
      </c>
      <c r="B1271" s="459" t="s">
        <v>270</v>
      </c>
      <c r="C1271" s="315" t="s">
        <v>269</v>
      </c>
      <c r="D1271" s="197">
        <f>54600+2850</f>
        <v>57450</v>
      </c>
      <c r="E1271" s="197"/>
      <c r="F1271" s="496">
        <v>700</v>
      </c>
      <c r="G1271" s="613">
        <v>3000</v>
      </c>
      <c r="H1271" s="493">
        <f t="shared" si="119"/>
        <v>61150</v>
      </c>
      <c r="I1271" s="493">
        <v>58100</v>
      </c>
      <c r="J1271" s="493">
        <f t="shared" si="115"/>
        <v>650</v>
      </c>
      <c r="K1271" s="868">
        <f t="shared" si="116"/>
        <v>1.1314186248912098E-2</v>
      </c>
      <c r="L1271" s="493">
        <f t="shared" si="117"/>
        <v>-3050</v>
      </c>
      <c r="M1271" s="868">
        <f t="shared" si="118"/>
        <v>-4.9877350776778413E-2</v>
      </c>
    </row>
    <row r="1272" spans="1:13" x14ac:dyDescent="0.2">
      <c r="A1272" s="459"/>
      <c r="B1272" s="459"/>
      <c r="C1272" s="315"/>
      <c r="D1272" s="197"/>
      <c r="E1272" s="197"/>
      <c r="F1272" s="496">
        <v>0</v>
      </c>
      <c r="G1272" s="613">
        <v>0</v>
      </c>
      <c r="H1272" s="493">
        <f t="shared" si="119"/>
        <v>0</v>
      </c>
      <c r="I1272" s="493">
        <v>0</v>
      </c>
      <c r="J1272" s="493">
        <f t="shared" ref="J1272:J1335" si="120">I1272-D1272</f>
        <v>0</v>
      </c>
      <c r="K1272" s="868"/>
      <c r="L1272" s="493">
        <f t="shared" ref="L1272:L1335" si="121">I1272-H1272</f>
        <v>0</v>
      </c>
      <c r="M1272" s="868"/>
    </row>
    <row r="1273" spans="1:13" x14ac:dyDescent="0.2">
      <c r="A1273" s="459" t="s">
        <v>870</v>
      </c>
      <c r="B1273" s="459" t="s">
        <v>270</v>
      </c>
      <c r="C1273" s="410" t="s">
        <v>274</v>
      </c>
      <c r="D1273" s="213">
        <v>51000</v>
      </c>
      <c r="E1273" s="213"/>
      <c r="F1273" s="213">
        <v>0</v>
      </c>
      <c r="G1273" s="613">
        <v>0</v>
      </c>
      <c r="H1273" s="493">
        <f t="shared" si="119"/>
        <v>51000</v>
      </c>
      <c r="I1273" s="493">
        <v>51000</v>
      </c>
      <c r="J1273" s="493">
        <f t="shared" si="120"/>
        <v>0</v>
      </c>
      <c r="K1273" s="868">
        <f t="shared" ref="K1273:K1335" si="122">J1273/D1273</f>
        <v>0</v>
      </c>
      <c r="L1273" s="493">
        <f t="shared" si="121"/>
        <v>0</v>
      </c>
      <c r="M1273" s="868">
        <f t="shared" ref="M1273:M1335" si="123">L1273/H1273</f>
        <v>0</v>
      </c>
    </row>
    <row r="1274" spans="1:13" x14ac:dyDescent="0.2">
      <c r="A1274" s="459"/>
      <c r="B1274" s="459"/>
      <c r="C1274" s="315"/>
      <c r="D1274" s="197"/>
      <c r="E1274" s="197"/>
      <c r="F1274" s="496">
        <v>0</v>
      </c>
      <c r="G1274" s="613">
        <v>0</v>
      </c>
      <c r="H1274" s="493">
        <f t="shared" si="119"/>
        <v>0</v>
      </c>
      <c r="I1274" s="493">
        <v>0</v>
      </c>
      <c r="J1274" s="493">
        <f t="shared" si="120"/>
        <v>0</v>
      </c>
      <c r="K1274" s="868"/>
      <c r="L1274" s="493">
        <f t="shared" si="121"/>
        <v>0</v>
      </c>
      <c r="M1274" s="868"/>
    </row>
    <row r="1275" spans="1:13" x14ac:dyDescent="0.2">
      <c r="A1275" s="459" t="s">
        <v>869</v>
      </c>
      <c r="B1275" s="459" t="s">
        <v>270</v>
      </c>
      <c r="C1275" s="104" t="s">
        <v>275</v>
      </c>
      <c r="D1275" s="172">
        <v>51500</v>
      </c>
      <c r="E1275" s="172"/>
      <c r="F1275" s="172">
        <v>0</v>
      </c>
      <c r="G1275" s="574">
        <v>-8000</v>
      </c>
      <c r="H1275" s="493">
        <f t="shared" si="119"/>
        <v>43500</v>
      </c>
      <c r="I1275" s="493">
        <v>47500</v>
      </c>
      <c r="J1275" s="493">
        <f t="shared" si="120"/>
        <v>-4000</v>
      </c>
      <c r="K1275" s="868">
        <f t="shared" si="122"/>
        <v>-7.7669902912621352E-2</v>
      </c>
      <c r="L1275" s="493">
        <f t="shared" si="121"/>
        <v>4000</v>
      </c>
      <c r="M1275" s="868">
        <f t="shared" si="123"/>
        <v>9.1954022988505746E-2</v>
      </c>
    </row>
    <row r="1276" spans="1:13" x14ac:dyDescent="0.2">
      <c r="A1276" s="459"/>
      <c r="B1276" s="459"/>
      <c r="C1276" s="320"/>
      <c r="D1276" s="146"/>
      <c r="E1276" s="146"/>
      <c r="F1276" s="498">
        <v>0</v>
      </c>
      <c r="G1276" s="577">
        <v>0</v>
      </c>
      <c r="H1276" s="493">
        <f t="shared" si="119"/>
        <v>0</v>
      </c>
      <c r="I1276" s="493">
        <v>0</v>
      </c>
      <c r="J1276" s="493">
        <f t="shared" si="120"/>
        <v>0</v>
      </c>
      <c r="K1276" s="868"/>
      <c r="L1276" s="493">
        <f t="shared" si="121"/>
        <v>0</v>
      </c>
      <c r="M1276" s="868"/>
    </row>
    <row r="1277" spans="1:13" x14ac:dyDescent="0.2">
      <c r="A1277" s="459" t="s">
        <v>869</v>
      </c>
      <c r="B1277" s="459" t="s">
        <v>270</v>
      </c>
      <c r="C1277" s="104" t="s">
        <v>252</v>
      </c>
      <c r="D1277" s="172">
        <v>112200</v>
      </c>
      <c r="E1277" s="172"/>
      <c r="F1277" s="172">
        <v>0</v>
      </c>
      <c r="G1277" s="574">
        <v>0</v>
      </c>
      <c r="H1277" s="493">
        <f t="shared" si="119"/>
        <v>112200</v>
      </c>
      <c r="I1277" s="493">
        <v>118000</v>
      </c>
      <c r="J1277" s="493">
        <f t="shared" si="120"/>
        <v>5800</v>
      </c>
      <c r="K1277" s="868">
        <f t="shared" si="122"/>
        <v>5.1693404634581108E-2</v>
      </c>
      <c r="L1277" s="493">
        <f t="shared" si="121"/>
        <v>5800</v>
      </c>
      <c r="M1277" s="868">
        <f t="shared" si="123"/>
        <v>5.1693404634581108E-2</v>
      </c>
    </row>
    <row r="1278" spans="1:13" x14ac:dyDescent="0.2">
      <c r="A1278" s="459"/>
      <c r="B1278" s="459"/>
      <c r="C1278" s="104"/>
      <c r="D1278" s="172"/>
      <c r="E1278" s="172"/>
      <c r="F1278" s="172">
        <v>0</v>
      </c>
      <c r="G1278" s="574">
        <v>0</v>
      </c>
      <c r="H1278" s="493">
        <f t="shared" ref="H1278:H1341" si="124">D1278+E1278+F1278+G1278</f>
        <v>0</v>
      </c>
      <c r="I1278" s="493">
        <v>0</v>
      </c>
      <c r="J1278" s="493">
        <f t="shared" si="120"/>
        <v>0</v>
      </c>
      <c r="K1278" s="868"/>
      <c r="L1278" s="493">
        <f t="shared" si="121"/>
        <v>0</v>
      </c>
      <c r="M1278" s="868"/>
    </row>
    <row r="1279" spans="1:13" x14ac:dyDescent="0.2">
      <c r="A1279" s="459" t="s">
        <v>883</v>
      </c>
      <c r="B1279" s="459" t="s">
        <v>270</v>
      </c>
      <c r="C1279" s="104" t="s">
        <v>276</v>
      </c>
      <c r="D1279" s="172">
        <v>9500</v>
      </c>
      <c r="E1279" s="172"/>
      <c r="F1279" s="172">
        <v>0</v>
      </c>
      <c r="G1279" s="574">
        <v>0</v>
      </c>
      <c r="H1279" s="493">
        <f t="shared" si="124"/>
        <v>9500</v>
      </c>
      <c r="I1279" s="493">
        <v>9500</v>
      </c>
      <c r="J1279" s="493">
        <f t="shared" si="120"/>
        <v>0</v>
      </c>
      <c r="K1279" s="868">
        <f t="shared" si="122"/>
        <v>0</v>
      </c>
      <c r="L1279" s="493">
        <f t="shared" si="121"/>
        <v>0</v>
      </c>
      <c r="M1279" s="868">
        <f t="shared" si="123"/>
        <v>0</v>
      </c>
    </row>
    <row r="1280" spans="1:13" x14ac:dyDescent="0.2">
      <c r="C1280" s="393"/>
      <c r="D1280" s="182"/>
      <c r="E1280" s="182"/>
      <c r="F1280" s="491">
        <v>0</v>
      </c>
      <c r="G1280" s="491"/>
      <c r="H1280" s="491">
        <f t="shared" si="124"/>
        <v>0</v>
      </c>
      <c r="I1280" s="491">
        <v>0</v>
      </c>
      <c r="J1280" s="491">
        <f t="shared" si="120"/>
        <v>0</v>
      </c>
      <c r="K1280" s="866"/>
      <c r="L1280" s="491">
        <f t="shared" si="121"/>
        <v>0</v>
      </c>
      <c r="M1280" s="866"/>
    </row>
    <row r="1281" spans="1:13" x14ac:dyDescent="0.2">
      <c r="C1281" s="393"/>
      <c r="D1281" s="182"/>
      <c r="E1281" s="182"/>
      <c r="F1281" s="491">
        <v>0</v>
      </c>
      <c r="G1281" s="491"/>
      <c r="H1281" s="491">
        <f t="shared" si="124"/>
        <v>0</v>
      </c>
      <c r="I1281" s="491">
        <v>0</v>
      </c>
      <c r="J1281" s="491">
        <f t="shared" si="120"/>
        <v>0</v>
      </c>
      <c r="K1281" s="866"/>
      <c r="L1281" s="491">
        <f t="shared" si="121"/>
        <v>0</v>
      </c>
      <c r="M1281" s="866"/>
    </row>
    <row r="1282" spans="1:13" ht="15.75" x14ac:dyDescent="0.2">
      <c r="C1282" s="289" t="s">
        <v>468</v>
      </c>
      <c r="D1282" s="176"/>
      <c r="E1282" s="176"/>
      <c r="F1282" s="176">
        <v>0</v>
      </c>
      <c r="G1282" s="176"/>
      <c r="H1282" s="176">
        <f t="shared" si="124"/>
        <v>0</v>
      </c>
      <c r="I1282" s="176">
        <v>0</v>
      </c>
      <c r="J1282" s="176">
        <f t="shared" si="120"/>
        <v>0</v>
      </c>
      <c r="K1282" s="906"/>
      <c r="L1282" s="176">
        <f t="shared" si="121"/>
        <v>0</v>
      </c>
      <c r="M1282" s="906"/>
    </row>
    <row r="1283" spans="1:13" x14ac:dyDescent="0.2">
      <c r="C1283" s="95"/>
      <c r="D1283" s="182"/>
      <c r="E1283" s="182"/>
      <c r="F1283" s="491">
        <v>0</v>
      </c>
      <c r="G1283" s="491"/>
      <c r="H1283" s="491">
        <f t="shared" si="124"/>
        <v>0</v>
      </c>
      <c r="I1283" s="491">
        <v>0</v>
      </c>
      <c r="J1283" s="491">
        <f t="shared" si="120"/>
        <v>0</v>
      </c>
      <c r="K1283" s="866"/>
      <c r="L1283" s="491">
        <f t="shared" si="121"/>
        <v>0</v>
      </c>
      <c r="M1283" s="866"/>
    </row>
    <row r="1284" spans="1:13" x14ac:dyDescent="0.2">
      <c r="C1284" s="100" t="s">
        <v>193</v>
      </c>
      <c r="D1284" s="170">
        <f>D1293+D1297+D1303+D1318+D1322</f>
        <v>6175394</v>
      </c>
      <c r="E1284" s="488">
        <f>E1293+E1297+E1303+E1318+E1322</f>
        <v>49486</v>
      </c>
      <c r="F1284" s="488">
        <f>F1293+F1297+F1303+F1318+F1322</f>
        <v>-89746</v>
      </c>
      <c r="G1284" s="570">
        <f>G1293+G1297+G1303+G1318+G1322</f>
        <v>-63922</v>
      </c>
      <c r="H1284" s="488">
        <f t="shared" si="124"/>
        <v>6071212</v>
      </c>
      <c r="I1284" s="488">
        <v>6391786</v>
      </c>
      <c r="J1284" s="488">
        <f t="shared" si="120"/>
        <v>216392</v>
      </c>
      <c r="K1284" s="865">
        <f t="shared" si="122"/>
        <v>3.5041003051789081E-2</v>
      </c>
      <c r="L1284" s="488">
        <f t="shared" si="121"/>
        <v>320574</v>
      </c>
      <c r="M1284" s="865">
        <f t="shared" si="123"/>
        <v>5.2802307018763303E-2</v>
      </c>
    </row>
    <row r="1285" spans="1:13" x14ac:dyDescent="0.2">
      <c r="C1285" s="101" t="s">
        <v>479</v>
      </c>
      <c r="D1285" s="182">
        <v>2106270</v>
      </c>
      <c r="E1285" s="491"/>
      <c r="F1285" s="491"/>
      <c r="G1285" s="571">
        <v>106929</v>
      </c>
      <c r="H1285" s="491">
        <f t="shared" si="124"/>
        <v>2213199</v>
      </c>
      <c r="I1285" s="491">
        <v>2132300</v>
      </c>
      <c r="J1285" s="491">
        <f t="shared" si="120"/>
        <v>26030</v>
      </c>
      <c r="K1285" s="866">
        <f t="shared" si="122"/>
        <v>1.2358339624074786E-2</v>
      </c>
      <c r="L1285" s="491">
        <f t="shared" si="121"/>
        <v>-80899</v>
      </c>
      <c r="M1285" s="866">
        <f t="shared" si="123"/>
        <v>-3.6552971513180696E-2</v>
      </c>
    </row>
    <row r="1286" spans="1:13" x14ac:dyDescent="0.2">
      <c r="C1286" s="329" t="s">
        <v>116</v>
      </c>
      <c r="D1286" s="183">
        <f>SUM(D1287:D1290)</f>
        <v>6175394</v>
      </c>
      <c r="E1286" s="183">
        <f>SUM(E1287:E1290)</f>
        <v>49486</v>
      </c>
      <c r="F1286" s="183">
        <f>SUM(F1287:F1290)</f>
        <v>-89746</v>
      </c>
      <c r="G1286" s="570">
        <f>SUM(G1287:G1290)</f>
        <v>-63922</v>
      </c>
      <c r="H1286" s="183">
        <f t="shared" si="124"/>
        <v>6071212</v>
      </c>
      <c r="I1286" s="183">
        <v>6391786</v>
      </c>
      <c r="J1286" s="183">
        <f t="shared" si="120"/>
        <v>216392</v>
      </c>
      <c r="K1286" s="528">
        <f t="shared" si="122"/>
        <v>3.5041003051789081E-2</v>
      </c>
      <c r="L1286" s="183">
        <f t="shared" si="121"/>
        <v>320574</v>
      </c>
      <c r="M1286" s="528">
        <f t="shared" si="123"/>
        <v>5.2802307018763303E-2</v>
      </c>
    </row>
    <row r="1287" spans="1:13" x14ac:dyDescent="0.2">
      <c r="C1287" s="102" t="s">
        <v>117</v>
      </c>
      <c r="D1287" s="182">
        <f>'2.2 OMATULUD'!B481</f>
        <v>4634610</v>
      </c>
      <c r="E1287" s="491"/>
      <c r="F1287" s="491">
        <v>-1559400</v>
      </c>
      <c r="G1287" s="571">
        <v>-723450</v>
      </c>
      <c r="H1287" s="491">
        <f t="shared" si="124"/>
        <v>2351760</v>
      </c>
      <c r="I1287" s="491">
        <v>4483100</v>
      </c>
      <c r="J1287" s="491">
        <f t="shared" si="120"/>
        <v>-151510</v>
      </c>
      <c r="K1287" s="866">
        <f t="shared" si="122"/>
        <v>-3.2690992338082384E-2</v>
      </c>
      <c r="L1287" s="491">
        <f t="shared" si="121"/>
        <v>2131340</v>
      </c>
      <c r="M1287" s="866">
        <f t="shared" si="123"/>
        <v>0.90627444977378646</v>
      </c>
    </row>
    <row r="1288" spans="1:13" x14ac:dyDescent="0.2">
      <c r="C1288" s="95" t="s">
        <v>105</v>
      </c>
      <c r="D1288" s="182">
        <v>38507</v>
      </c>
      <c r="E1288" s="491"/>
      <c r="F1288" s="491"/>
      <c r="G1288" s="571"/>
      <c r="H1288" s="491">
        <f t="shared" si="124"/>
        <v>38507</v>
      </c>
      <c r="I1288" s="491">
        <v>27370</v>
      </c>
      <c r="J1288" s="491">
        <f t="shared" si="120"/>
        <v>-11137</v>
      </c>
      <c r="K1288" s="866">
        <f t="shared" si="122"/>
        <v>-0.28922014179240141</v>
      </c>
      <c r="L1288" s="491">
        <f t="shared" si="121"/>
        <v>-11137</v>
      </c>
      <c r="M1288" s="866">
        <f t="shared" si="123"/>
        <v>-0.28922014179240141</v>
      </c>
    </row>
    <row r="1289" spans="1:13" x14ac:dyDescent="0.2">
      <c r="C1289" s="95" t="s">
        <v>676</v>
      </c>
      <c r="D1289" s="182">
        <v>5010</v>
      </c>
      <c r="E1289" s="491"/>
      <c r="F1289" s="491"/>
      <c r="G1289" s="571"/>
      <c r="H1289" s="491">
        <f t="shared" si="124"/>
        <v>5010</v>
      </c>
      <c r="I1289" s="491">
        <v>4830</v>
      </c>
      <c r="J1289" s="491">
        <f t="shared" si="120"/>
        <v>-180</v>
      </c>
      <c r="K1289" s="866">
        <f t="shared" si="122"/>
        <v>-3.5928143712574849E-2</v>
      </c>
      <c r="L1289" s="491">
        <f t="shared" si="121"/>
        <v>-180</v>
      </c>
      <c r="M1289" s="866">
        <f t="shared" si="123"/>
        <v>-3.5928143712574849E-2</v>
      </c>
    </row>
    <row r="1290" spans="1:13" s="6" customFormat="1" x14ac:dyDescent="0.2">
      <c r="A1290" s="503"/>
      <c r="B1290" s="503"/>
      <c r="C1290" s="95" t="s">
        <v>118</v>
      </c>
      <c r="D1290" s="182">
        <f>D1284-D1287-D1288-D1289</f>
        <v>1497267</v>
      </c>
      <c r="E1290" s="491">
        <f>E1284-E1287-E1288-E1289</f>
        <v>49486</v>
      </c>
      <c r="F1290" s="491">
        <f>F1284-F1287-F1288-F1289</f>
        <v>1469654</v>
      </c>
      <c r="G1290" s="571">
        <f>G1284-G1287-G1288-G1289</f>
        <v>659528</v>
      </c>
      <c r="H1290" s="491">
        <f t="shared" si="124"/>
        <v>3675935</v>
      </c>
      <c r="I1290" s="491">
        <v>1876486</v>
      </c>
      <c r="J1290" s="491">
        <f t="shared" si="120"/>
        <v>379219</v>
      </c>
      <c r="K1290" s="866">
        <f t="shared" si="122"/>
        <v>0.25327413213541738</v>
      </c>
      <c r="L1290" s="491">
        <f t="shared" si="121"/>
        <v>-1799449</v>
      </c>
      <c r="M1290" s="866">
        <f t="shared" si="123"/>
        <v>-0.48952144148359533</v>
      </c>
    </row>
    <row r="1291" spans="1:13" x14ac:dyDescent="0.2">
      <c r="A1291" s="459"/>
      <c r="B1291" s="459"/>
      <c r="C1291" s="473" t="s">
        <v>909</v>
      </c>
      <c r="D1291" s="474">
        <f>D1295+D1301+D1312+D1316+D1320+D1325+D1328+D1348+D1351+D1354+D1359</f>
        <v>2107311</v>
      </c>
      <c r="E1291" s="474">
        <f>E1295+E1301+E1312+E1316+E1320+E1325+E1328+E1348+E1351+E1354+E1359</f>
        <v>36985</v>
      </c>
      <c r="F1291" s="474">
        <f>F1295+F1301+F1312+F1316+F1320+F1325+F1328+F1348+F1351+F1354+F1359+F1307</f>
        <v>29252</v>
      </c>
      <c r="G1291" s="474">
        <f t="shared" ref="G1291" si="125">G1295+G1301+G1312+G1316+G1320+G1325+G1328+G1348+G1351+G1354+G1359+G1307</f>
        <v>-19323</v>
      </c>
      <c r="H1291" s="474">
        <f t="shared" si="124"/>
        <v>2154225</v>
      </c>
      <c r="I1291" s="474">
        <v>2229409</v>
      </c>
      <c r="J1291" s="474">
        <f t="shared" si="120"/>
        <v>122098</v>
      </c>
      <c r="K1291" s="867">
        <f t="shared" si="122"/>
        <v>5.7940190128557202E-2</v>
      </c>
      <c r="L1291" s="474">
        <f t="shared" si="121"/>
        <v>75184</v>
      </c>
      <c r="M1291" s="867">
        <f t="shared" si="123"/>
        <v>3.4900718355789208E-2</v>
      </c>
    </row>
    <row r="1292" spans="1:13" x14ac:dyDescent="0.2">
      <c r="C1292" s="6"/>
      <c r="D1292" s="10"/>
      <c r="E1292" s="10"/>
      <c r="F1292" s="10">
        <v>0</v>
      </c>
      <c r="G1292" s="10"/>
      <c r="H1292" s="10">
        <f t="shared" si="124"/>
        <v>0</v>
      </c>
      <c r="I1292" s="10">
        <v>0</v>
      </c>
      <c r="J1292" s="10">
        <f t="shared" si="120"/>
        <v>0</v>
      </c>
      <c r="K1292" s="907"/>
      <c r="L1292" s="10">
        <f t="shared" si="121"/>
        <v>0</v>
      </c>
      <c r="M1292" s="907"/>
    </row>
    <row r="1293" spans="1:13" ht="15" x14ac:dyDescent="0.2">
      <c r="A1293" s="459" t="s">
        <v>864</v>
      </c>
      <c r="B1293" s="459" t="s">
        <v>468</v>
      </c>
      <c r="C1293" s="402" t="s">
        <v>198</v>
      </c>
      <c r="D1293" s="212">
        <f>D1294</f>
        <v>211000</v>
      </c>
      <c r="E1293" s="212"/>
      <c r="F1293" s="497">
        <v>0</v>
      </c>
      <c r="G1293" s="669">
        <f>G1294</f>
        <v>6000</v>
      </c>
      <c r="H1293" s="497">
        <f t="shared" si="124"/>
        <v>217000</v>
      </c>
      <c r="I1293" s="497">
        <v>212000</v>
      </c>
      <c r="J1293" s="497">
        <f t="shared" si="120"/>
        <v>1000</v>
      </c>
      <c r="K1293" s="956">
        <f t="shared" si="122"/>
        <v>4.7393364928909956E-3</v>
      </c>
      <c r="L1293" s="497">
        <f t="shared" si="121"/>
        <v>-5000</v>
      </c>
      <c r="M1293" s="956">
        <f t="shared" si="123"/>
        <v>-2.3041474654377881E-2</v>
      </c>
    </row>
    <row r="1294" spans="1:13" x14ac:dyDescent="0.2">
      <c r="C1294" s="292" t="s">
        <v>724</v>
      </c>
      <c r="D1294" s="118">
        <v>211000</v>
      </c>
      <c r="E1294" s="118"/>
      <c r="F1294" s="477">
        <v>0</v>
      </c>
      <c r="G1294" s="566">
        <v>6000</v>
      </c>
      <c r="H1294" s="477">
        <f t="shared" si="124"/>
        <v>217000</v>
      </c>
      <c r="I1294" s="477">
        <v>212000</v>
      </c>
      <c r="J1294" s="477">
        <f t="shared" si="120"/>
        <v>1000</v>
      </c>
      <c r="K1294" s="909">
        <f t="shared" si="122"/>
        <v>4.7393364928909956E-3</v>
      </c>
      <c r="L1294" s="477">
        <f t="shared" si="121"/>
        <v>-5000</v>
      </c>
      <c r="M1294" s="909">
        <f t="shared" si="123"/>
        <v>-2.3041474654377881E-2</v>
      </c>
    </row>
    <row r="1295" spans="1:13" s="56" customFormat="1" x14ac:dyDescent="0.2">
      <c r="A1295" s="503"/>
      <c r="B1295" s="503"/>
      <c r="C1295" s="98" t="s">
        <v>119</v>
      </c>
      <c r="D1295" s="489">
        <v>109695</v>
      </c>
      <c r="E1295" s="145"/>
      <c r="F1295" s="489">
        <v>0</v>
      </c>
      <c r="G1295" s="567">
        <v>0</v>
      </c>
      <c r="H1295" s="489">
        <f t="shared" si="124"/>
        <v>109695</v>
      </c>
      <c r="I1295" s="489">
        <v>109695</v>
      </c>
      <c r="J1295" s="489">
        <f t="shared" si="120"/>
        <v>0</v>
      </c>
      <c r="K1295" s="869">
        <f t="shared" si="122"/>
        <v>0</v>
      </c>
      <c r="L1295" s="489">
        <f t="shared" si="121"/>
        <v>0</v>
      </c>
      <c r="M1295" s="869">
        <f t="shared" si="123"/>
        <v>0</v>
      </c>
    </row>
    <row r="1296" spans="1:13" x14ac:dyDescent="0.2">
      <c r="C1296" s="357"/>
      <c r="D1296" s="195"/>
      <c r="E1296" s="195"/>
      <c r="F1296" s="195">
        <v>0</v>
      </c>
      <c r="G1296" s="659">
        <v>0</v>
      </c>
      <c r="H1296" s="195">
        <f t="shared" si="124"/>
        <v>0</v>
      </c>
      <c r="I1296" s="195">
        <v>0</v>
      </c>
      <c r="J1296" s="195">
        <f t="shared" si="120"/>
        <v>0</v>
      </c>
      <c r="K1296" s="922"/>
      <c r="L1296" s="195">
        <f t="shared" si="121"/>
        <v>0</v>
      </c>
      <c r="M1296" s="922"/>
    </row>
    <row r="1297" spans="1:13" ht="15" x14ac:dyDescent="0.2">
      <c r="A1297" s="459" t="s">
        <v>865</v>
      </c>
      <c r="B1297" s="459" t="s">
        <v>468</v>
      </c>
      <c r="C1297" s="402" t="s">
        <v>200</v>
      </c>
      <c r="D1297" s="212">
        <f>D1298</f>
        <v>178000</v>
      </c>
      <c r="E1297" s="212"/>
      <c r="F1297" s="497">
        <f>F1298</f>
        <v>2000</v>
      </c>
      <c r="G1297" s="669">
        <f>G1298</f>
        <v>3000</v>
      </c>
      <c r="H1297" s="497">
        <f t="shared" si="124"/>
        <v>183000</v>
      </c>
      <c r="I1297" s="497">
        <v>184586</v>
      </c>
      <c r="J1297" s="497">
        <f t="shared" si="120"/>
        <v>6586</v>
      </c>
      <c r="K1297" s="956">
        <f t="shared" si="122"/>
        <v>3.6999999999999998E-2</v>
      </c>
      <c r="L1297" s="497">
        <f t="shared" si="121"/>
        <v>1586</v>
      </c>
      <c r="M1297" s="956">
        <f t="shared" si="123"/>
        <v>8.6666666666666663E-3</v>
      </c>
    </row>
    <row r="1298" spans="1:13" x14ac:dyDescent="0.2">
      <c r="C1298" s="407" t="s">
        <v>201</v>
      </c>
      <c r="D1298" s="185">
        <f>D1300</f>
        <v>178000</v>
      </c>
      <c r="E1298" s="185"/>
      <c r="F1298" s="494">
        <f>F1300</f>
        <v>2000</v>
      </c>
      <c r="G1298" s="652">
        <f>G1300</f>
        <v>3000</v>
      </c>
      <c r="H1298" s="494">
        <f t="shared" si="124"/>
        <v>183000</v>
      </c>
      <c r="I1298" s="494">
        <v>184586</v>
      </c>
      <c r="J1298" s="494">
        <f t="shared" si="120"/>
        <v>6586</v>
      </c>
      <c r="K1298" s="945">
        <f t="shared" si="122"/>
        <v>3.6999999999999998E-2</v>
      </c>
      <c r="L1298" s="494">
        <f t="shared" si="121"/>
        <v>1586</v>
      </c>
      <c r="M1298" s="945">
        <f t="shared" si="123"/>
        <v>8.6666666666666663E-3</v>
      </c>
    </row>
    <row r="1299" spans="1:13" x14ac:dyDescent="0.2">
      <c r="C1299" s="408" t="s">
        <v>196</v>
      </c>
      <c r="D1299" s="170"/>
      <c r="E1299" s="170"/>
      <c r="F1299" s="488">
        <v>0</v>
      </c>
      <c r="G1299" s="570">
        <v>0</v>
      </c>
      <c r="H1299" s="488">
        <f t="shared" si="124"/>
        <v>0</v>
      </c>
      <c r="I1299" s="488">
        <v>0</v>
      </c>
      <c r="J1299" s="488">
        <f t="shared" si="120"/>
        <v>0</v>
      </c>
      <c r="K1299" s="865"/>
      <c r="L1299" s="488">
        <f t="shared" si="121"/>
        <v>0</v>
      </c>
      <c r="M1299" s="865"/>
    </row>
    <row r="1300" spans="1:13" x14ac:dyDescent="0.2">
      <c r="C1300" s="378" t="s">
        <v>725</v>
      </c>
      <c r="D1300" s="202">
        <v>178000</v>
      </c>
      <c r="E1300" s="202"/>
      <c r="F1300" s="493">
        <v>2000</v>
      </c>
      <c r="G1300" s="601">
        <v>3000</v>
      </c>
      <c r="H1300" s="493">
        <f t="shared" si="124"/>
        <v>183000</v>
      </c>
      <c r="I1300" s="493">
        <v>184586</v>
      </c>
      <c r="J1300" s="493">
        <f t="shared" si="120"/>
        <v>6586</v>
      </c>
      <c r="K1300" s="868">
        <f t="shared" si="122"/>
        <v>3.6999999999999998E-2</v>
      </c>
      <c r="L1300" s="493">
        <f t="shared" si="121"/>
        <v>1586</v>
      </c>
      <c r="M1300" s="868">
        <f t="shared" si="123"/>
        <v>8.6666666666666663E-3</v>
      </c>
    </row>
    <row r="1301" spans="1:13" s="56" customFormat="1" x14ac:dyDescent="0.2">
      <c r="A1301" s="503"/>
      <c r="B1301" s="503"/>
      <c r="C1301" s="103" t="s">
        <v>119</v>
      </c>
      <c r="D1301" s="489">
        <v>85163</v>
      </c>
      <c r="E1301" s="145"/>
      <c r="F1301" s="489">
        <v>0</v>
      </c>
      <c r="G1301" s="489"/>
      <c r="H1301" s="489">
        <f t="shared" si="124"/>
        <v>85163</v>
      </c>
      <c r="I1301" s="489">
        <v>85163</v>
      </c>
      <c r="J1301" s="489">
        <f t="shared" si="120"/>
        <v>0</v>
      </c>
      <c r="K1301" s="869">
        <f t="shared" si="122"/>
        <v>0</v>
      </c>
      <c r="L1301" s="489">
        <f t="shared" si="121"/>
        <v>0</v>
      </c>
      <c r="M1301" s="869">
        <f t="shared" si="123"/>
        <v>0</v>
      </c>
    </row>
    <row r="1302" spans="1:13" x14ac:dyDescent="0.2">
      <c r="C1302" s="411"/>
      <c r="D1302" s="145"/>
      <c r="E1302" s="145"/>
      <c r="F1302" s="489">
        <v>0</v>
      </c>
      <c r="G1302" s="489"/>
      <c r="H1302" s="489">
        <f t="shared" si="124"/>
        <v>0</v>
      </c>
      <c r="I1302" s="489">
        <v>0</v>
      </c>
      <c r="J1302" s="489">
        <f t="shared" si="120"/>
        <v>0</v>
      </c>
      <c r="K1302" s="869"/>
      <c r="L1302" s="489">
        <f t="shared" si="121"/>
        <v>0</v>
      </c>
      <c r="M1302" s="869"/>
    </row>
    <row r="1303" spans="1:13" s="486" customFormat="1" ht="15" x14ac:dyDescent="0.2">
      <c r="A1303" s="459" t="s">
        <v>866</v>
      </c>
      <c r="B1303" s="459" t="s">
        <v>468</v>
      </c>
      <c r="C1303" s="402" t="s">
        <v>203</v>
      </c>
      <c r="D1303" s="212">
        <f>D1309</f>
        <v>647698</v>
      </c>
      <c r="E1303" s="497">
        <v>15162</v>
      </c>
      <c r="F1303" s="497">
        <f>F1309+F1304</f>
        <v>27566</v>
      </c>
      <c r="G1303" s="497"/>
      <c r="H1303" s="497">
        <f t="shared" si="124"/>
        <v>690426</v>
      </c>
      <c r="I1303" s="497">
        <v>724000</v>
      </c>
      <c r="J1303" s="497">
        <f t="shared" si="120"/>
        <v>76302</v>
      </c>
      <c r="K1303" s="956">
        <f t="shared" si="122"/>
        <v>0.11780490290227853</v>
      </c>
      <c r="L1303" s="497">
        <f t="shared" si="121"/>
        <v>33574</v>
      </c>
      <c r="M1303" s="956">
        <f t="shared" si="123"/>
        <v>4.8627948541914705E-2</v>
      </c>
    </row>
    <row r="1304" spans="1:13" s="486" customFormat="1" ht="15" x14ac:dyDescent="0.2">
      <c r="A1304" s="459"/>
      <c r="B1304" s="459"/>
      <c r="C1304" s="764" t="s">
        <v>215</v>
      </c>
      <c r="D1304" s="497"/>
      <c r="E1304" s="497"/>
      <c r="F1304" s="497">
        <f>F1306</f>
        <v>27566</v>
      </c>
      <c r="G1304" s="497"/>
      <c r="H1304" s="497">
        <f t="shared" si="124"/>
        <v>27566</v>
      </c>
      <c r="I1304" s="497">
        <v>70000</v>
      </c>
      <c r="J1304" s="497">
        <f t="shared" si="120"/>
        <v>70000</v>
      </c>
      <c r="K1304" s="956"/>
      <c r="L1304" s="497">
        <f t="shared" si="121"/>
        <v>42434</v>
      </c>
      <c r="M1304" s="956">
        <f t="shared" si="123"/>
        <v>1.5393600812595225</v>
      </c>
    </row>
    <row r="1305" spans="1:13" s="486" customFormat="1" ht="15" x14ac:dyDescent="0.2">
      <c r="A1305" s="459"/>
      <c r="B1305" s="459"/>
      <c r="C1305" s="765" t="s">
        <v>196</v>
      </c>
      <c r="D1305" s="497"/>
      <c r="E1305" s="497"/>
      <c r="F1305" s="497"/>
      <c r="G1305" s="497"/>
      <c r="H1305" s="497">
        <f t="shared" si="124"/>
        <v>0</v>
      </c>
      <c r="I1305" s="497">
        <v>0</v>
      </c>
      <c r="J1305" s="497">
        <f t="shared" si="120"/>
        <v>0</v>
      </c>
      <c r="K1305" s="956"/>
      <c r="L1305" s="497">
        <f t="shared" si="121"/>
        <v>0</v>
      </c>
      <c r="M1305" s="956"/>
    </row>
    <row r="1306" spans="1:13" s="486" customFormat="1" ht="24" x14ac:dyDescent="0.2">
      <c r="A1306" s="459"/>
      <c r="B1306" s="459"/>
      <c r="C1306" s="766" t="s">
        <v>1055</v>
      </c>
      <c r="D1306" s="497"/>
      <c r="E1306" s="497"/>
      <c r="F1306" s="493">
        <v>27566</v>
      </c>
      <c r="G1306" s="497"/>
      <c r="H1306" s="493">
        <f t="shared" si="124"/>
        <v>27566</v>
      </c>
      <c r="I1306" s="493">
        <v>70000</v>
      </c>
      <c r="J1306" s="493">
        <f t="shared" si="120"/>
        <v>70000</v>
      </c>
      <c r="K1306" s="868"/>
      <c r="L1306" s="493">
        <f t="shared" si="121"/>
        <v>42434</v>
      </c>
      <c r="M1306" s="868">
        <f t="shared" si="123"/>
        <v>1.5393600812595225</v>
      </c>
    </row>
    <row r="1307" spans="1:13" s="486" customFormat="1" ht="15" x14ac:dyDescent="0.2">
      <c r="A1307" s="459"/>
      <c r="B1307" s="459"/>
      <c r="C1307" s="767" t="s">
        <v>119</v>
      </c>
      <c r="D1307" s="497"/>
      <c r="E1307" s="497"/>
      <c r="F1307" s="489">
        <v>20480</v>
      </c>
      <c r="G1307" s="497"/>
      <c r="H1307" s="489">
        <f t="shared" si="124"/>
        <v>20480</v>
      </c>
      <c r="I1307" s="489">
        <v>44400</v>
      </c>
      <c r="J1307" s="489">
        <f t="shared" si="120"/>
        <v>44400</v>
      </c>
      <c r="K1307" s="869"/>
      <c r="L1307" s="489">
        <f t="shared" si="121"/>
        <v>23920</v>
      </c>
      <c r="M1307" s="869">
        <f t="shared" si="123"/>
        <v>1.16796875</v>
      </c>
    </row>
    <row r="1308" spans="1:13" ht="15" x14ac:dyDescent="0.2">
      <c r="A1308" s="459"/>
      <c r="B1308" s="459"/>
      <c r="C1308" s="767"/>
      <c r="D1308" s="497"/>
      <c r="E1308" s="497"/>
      <c r="F1308" s="497"/>
      <c r="G1308" s="497"/>
      <c r="H1308" s="497">
        <f t="shared" si="124"/>
        <v>0</v>
      </c>
      <c r="I1308" s="497">
        <v>0</v>
      </c>
      <c r="J1308" s="497">
        <f t="shared" si="120"/>
        <v>0</v>
      </c>
      <c r="K1308" s="956"/>
      <c r="L1308" s="497">
        <f t="shared" si="121"/>
        <v>0</v>
      </c>
      <c r="M1308" s="956"/>
    </row>
    <row r="1309" spans="1:13" ht="25.5" x14ac:dyDescent="0.2">
      <c r="C1309" s="407" t="s">
        <v>271</v>
      </c>
      <c r="D1309" s="185">
        <f>D1311+D1315</f>
        <v>647698</v>
      </c>
      <c r="E1309" s="494">
        <v>8475</v>
      </c>
      <c r="F1309" s="494">
        <f>F1311+F1315</f>
        <v>0</v>
      </c>
      <c r="G1309" s="494"/>
      <c r="H1309" s="494">
        <f t="shared" si="124"/>
        <v>656173</v>
      </c>
      <c r="I1309" s="494">
        <v>654000</v>
      </c>
      <c r="J1309" s="494">
        <f t="shared" si="120"/>
        <v>6302</v>
      </c>
      <c r="K1309" s="945">
        <f t="shared" si="122"/>
        <v>9.7298432294062979E-3</v>
      </c>
      <c r="L1309" s="494">
        <f t="shared" si="121"/>
        <v>-2173</v>
      </c>
      <c r="M1309" s="945">
        <f t="shared" si="123"/>
        <v>-3.311626659432802E-3</v>
      </c>
    </row>
    <row r="1310" spans="1:13" x14ac:dyDescent="0.2">
      <c r="C1310" s="408" t="s">
        <v>196</v>
      </c>
      <c r="D1310" s="170"/>
      <c r="E1310" s="488"/>
      <c r="F1310" s="488">
        <v>0</v>
      </c>
      <c r="G1310" s="488"/>
      <c r="H1310" s="488">
        <f t="shared" si="124"/>
        <v>0</v>
      </c>
      <c r="I1310" s="488">
        <v>0</v>
      </c>
      <c r="J1310" s="488">
        <f t="shared" si="120"/>
        <v>0</v>
      </c>
      <c r="K1310" s="865"/>
      <c r="L1310" s="488">
        <f t="shared" si="121"/>
        <v>0</v>
      </c>
      <c r="M1310" s="865"/>
    </row>
    <row r="1311" spans="1:13" x14ac:dyDescent="0.2">
      <c r="C1311" s="378" t="s">
        <v>726</v>
      </c>
      <c r="D1311" s="202">
        <v>369308</v>
      </c>
      <c r="E1311" s="493">
        <v>8475</v>
      </c>
      <c r="F1311" s="493"/>
      <c r="G1311" s="493"/>
      <c r="H1311" s="493">
        <f t="shared" si="124"/>
        <v>377783</v>
      </c>
      <c r="I1311" s="493">
        <v>368000</v>
      </c>
      <c r="J1311" s="493">
        <f t="shared" si="120"/>
        <v>-1308</v>
      </c>
      <c r="K1311" s="868">
        <f t="shared" si="122"/>
        <v>-3.5417591820377571E-3</v>
      </c>
      <c r="L1311" s="493">
        <f t="shared" si="121"/>
        <v>-9783</v>
      </c>
      <c r="M1311" s="868">
        <f t="shared" si="123"/>
        <v>-2.5895818498979574E-2</v>
      </c>
    </row>
    <row r="1312" spans="1:13" s="56" customFormat="1" x14ac:dyDescent="0.2">
      <c r="A1312" s="503"/>
      <c r="B1312" s="503"/>
      <c r="C1312" s="103" t="s">
        <v>119</v>
      </c>
      <c r="D1312" s="489">
        <v>191280</v>
      </c>
      <c r="E1312" s="489">
        <v>6334</v>
      </c>
      <c r="F1312" s="489"/>
      <c r="G1312" s="489"/>
      <c r="H1312" s="489">
        <f t="shared" si="124"/>
        <v>197614</v>
      </c>
      <c r="I1312" s="489">
        <v>198088</v>
      </c>
      <c r="J1312" s="489">
        <f t="shared" si="120"/>
        <v>6808</v>
      </c>
      <c r="K1312" s="869">
        <f t="shared" si="122"/>
        <v>3.5591802593057296E-2</v>
      </c>
      <c r="L1312" s="489">
        <f t="shared" si="121"/>
        <v>474</v>
      </c>
      <c r="M1312" s="869">
        <f t="shared" si="123"/>
        <v>2.3986154827087148E-3</v>
      </c>
    </row>
    <row r="1313" spans="1:13" x14ac:dyDescent="0.2">
      <c r="C1313"/>
      <c r="D1313" s="201"/>
      <c r="E1313" s="489"/>
      <c r="F1313" s="490">
        <v>0</v>
      </c>
      <c r="G1313" s="490"/>
      <c r="H1313" s="490">
        <f t="shared" si="124"/>
        <v>0</v>
      </c>
      <c r="I1313" s="490">
        <v>0</v>
      </c>
      <c r="J1313" s="490">
        <f t="shared" si="120"/>
        <v>0</v>
      </c>
      <c r="K1313" s="914"/>
      <c r="L1313" s="490">
        <f t="shared" si="121"/>
        <v>0</v>
      </c>
      <c r="M1313" s="914"/>
    </row>
    <row r="1314" spans="1:13" x14ac:dyDescent="0.2">
      <c r="C1314" s="408" t="s">
        <v>196</v>
      </c>
      <c r="D1314" s="170"/>
      <c r="E1314" s="489"/>
      <c r="F1314" s="488">
        <v>0</v>
      </c>
      <c r="G1314" s="488"/>
      <c r="H1314" s="488">
        <f t="shared" si="124"/>
        <v>0</v>
      </c>
      <c r="I1314" s="488">
        <v>0</v>
      </c>
      <c r="J1314" s="488">
        <f t="shared" si="120"/>
        <v>0</v>
      </c>
      <c r="K1314" s="865"/>
      <c r="L1314" s="488">
        <f t="shared" si="121"/>
        <v>0</v>
      </c>
      <c r="M1314" s="865"/>
    </row>
    <row r="1315" spans="1:13" x14ac:dyDescent="0.2">
      <c r="C1315" s="378" t="s">
        <v>727</v>
      </c>
      <c r="D1315" s="202">
        <v>278390</v>
      </c>
      <c r="E1315" s="489">
        <v>6687</v>
      </c>
      <c r="F1315" s="493">
        <v>0</v>
      </c>
      <c r="G1315" s="493"/>
      <c r="H1315" s="493">
        <f t="shared" si="124"/>
        <v>285077</v>
      </c>
      <c r="I1315" s="493">
        <v>286000</v>
      </c>
      <c r="J1315" s="493">
        <f t="shared" si="120"/>
        <v>7610</v>
      </c>
      <c r="K1315" s="868">
        <f t="shared" si="122"/>
        <v>2.7335752002586301E-2</v>
      </c>
      <c r="L1315" s="493">
        <f t="shared" si="121"/>
        <v>923</v>
      </c>
      <c r="M1315" s="868">
        <f t="shared" si="123"/>
        <v>3.2377217383373616E-3</v>
      </c>
    </row>
    <row r="1316" spans="1:13" s="56" customFormat="1" x14ac:dyDescent="0.2">
      <c r="A1316" s="503"/>
      <c r="B1316" s="503"/>
      <c r="C1316" s="103" t="s">
        <v>119</v>
      </c>
      <c r="D1316" s="489">
        <v>206812</v>
      </c>
      <c r="E1316" s="489">
        <v>4998</v>
      </c>
      <c r="F1316" s="489">
        <v>0</v>
      </c>
      <c r="G1316" s="489"/>
      <c r="H1316" s="489">
        <f t="shared" si="124"/>
        <v>211810</v>
      </c>
      <c r="I1316" s="489">
        <v>212452</v>
      </c>
      <c r="J1316" s="489">
        <f t="shared" si="120"/>
        <v>5640</v>
      </c>
      <c r="K1316" s="869">
        <f t="shared" si="122"/>
        <v>2.7271144807844806E-2</v>
      </c>
      <c r="L1316" s="489">
        <f t="shared" si="121"/>
        <v>642</v>
      </c>
      <c r="M1316" s="869">
        <f t="shared" si="123"/>
        <v>3.0310183655162647E-3</v>
      </c>
    </row>
    <row r="1317" spans="1:13" x14ac:dyDescent="0.2">
      <c r="C1317" s="283"/>
      <c r="D1317" s="217"/>
      <c r="E1317" s="217"/>
      <c r="F1317" s="492">
        <v>0</v>
      </c>
      <c r="G1317" s="492"/>
      <c r="H1317" s="492">
        <f t="shared" si="124"/>
        <v>0</v>
      </c>
      <c r="I1317" s="492">
        <v>0</v>
      </c>
      <c r="J1317" s="492">
        <f t="shared" si="120"/>
        <v>0</v>
      </c>
      <c r="K1317" s="931"/>
      <c r="L1317" s="492">
        <f t="shared" si="121"/>
        <v>0</v>
      </c>
      <c r="M1317" s="931"/>
    </row>
    <row r="1318" spans="1:13" ht="15" x14ac:dyDescent="0.2">
      <c r="A1318" s="459" t="s">
        <v>870</v>
      </c>
      <c r="B1318" s="459" t="s">
        <v>468</v>
      </c>
      <c r="C1318" s="402" t="s">
        <v>267</v>
      </c>
      <c r="D1318" s="212">
        <f>D1319</f>
        <v>1175500</v>
      </c>
      <c r="E1318" s="212"/>
      <c r="F1318" s="497">
        <f>F1319</f>
        <v>-145000</v>
      </c>
      <c r="G1318" s="669">
        <f>G1319</f>
        <v>-117000</v>
      </c>
      <c r="H1318" s="497">
        <f t="shared" si="124"/>
        <v>913500</v>
      </c>
      <c r="I1318" s="497">
        <v>1175500</v>
      </c>
      <c r="J1318" s="497">
        <f t="shared" si="120"/>
        <v>0</v>
      </c>
      <c r="K1318" s="956">
        <f t="shared" si="122"/>
        <v>0</v>
      </c>
      <c r="L1318" s="497">
        <f t="shared" si="121"/>
        <v>262000</v>
      </c>
      <c r="M1318" s="956">
        <f t="shared" si="123"/>
        <v>0.28680897646414888</v>
      </c>
    </row>
    <row r="1319" spans="1:13" x14ac:dyDescent="0.2">
      <c r="C1319" s="292" t="s">
        <v>268</v>
      </c>
      <c r="D1319" s="118">
        <v>1175500</v>
      </c>
      <c r="E1319" s="118"/>
      <c r="F1319" s="477">
        <v>-145000</v>
      </c>
      <c r="G1319" s="566">
        <v>-117000</v>
      </c>
      <c r="H1319" s="477">
        <f t="shared" si="124"/>
        <v>913500</v>
      </c>
      <c r="I1319" s="477">
        <v>1175500</v>
      </c>
      <c r="J1319" s="477">
        <f t="shared" si="120"/>
        <v>0</v>
      </c>
      <c r="K1319" s="909">
        <f t="shared" si="122"/>
        <v>0</v>
      </c>
      <c r="L1319" s="477">
        <f t="shared" si="121"/>
        <v>262000</v>
      </c>
      <c r="M1319" s="909">
        <f t="shared" si="123"/>
        <v>0.28680897646414888</v>
      </c>
    </row>
    <row r="1320" spans="1:13" s="56" customFormat="1" x14ac:dyDescent="0.2">
      <c r="A1320" s="503"/>
      <c r="B1320" s="503"/>
      <c r="C1320" s="98" t="s">
        <v>119</v>
      </c>
      <c r="D1320" s="489">
        <v>7500</v>
      </c>
      <c r="E1320" s="145"/>
      <c r="F1320" s="489">
        <v>0</v>
      </c>
      <c r="G1320" s="567">
        <v>0</v>
      </c>
      <c r="H1320" s="489">
        <f t="shared" si="124"/>
        <v>7500</v>
      </c>
      <c r="I1320" s="489">
        <v>9100</v>
      </c>
      <c r="J1320" s="489">
        <f t="shared" si="120"/>
        <v>1600</v>
      </c>
      <c r="K1320" s="869">
        <f t="shared" si="122"/>
        <v>0.21333333333333335</v>
      </c>
      <c r="L1320" s="489">
        <f t="shared" si="121"/>
        <v>1600</v>
      </c>
      <c r="M1320" s="869">
        <f t="shared" si="123"/>
        <v>0.21333333333333335</v>
      </c>
    </row>
    <row r="1321" spans="1:13" x14ac:dyDescent="0.2">
      <c r="C1321" s="357"/>
      <c r="D1321" s="195"/>
      <c r="E1321" s="195"/>
      <c r="F1321" s="195">
        <v>0</v>
      </c>
      <c r="G1321" s="659">
        <v>0</v>
      </c>
      <c r="H1321" s="195">
        <f t="shared" si="124"/>
        <v>0</v>
      </c>
      <c r="I1321" s="195">
        <v>0</v>
      </c>
      <c r="J1321" s="195">
        <f t="shared" si="120"/>
        <v>0</v>
      </c>
      <c r="K1321" s="922"/>
      <c r="L1321" s="195">
        <f t="shared" si="121"/>
        <v>0</v>
      </c>
      <c r="M1321" s="922"/>
    </row>
    <row r="1322" spans="1:13" x14ac:dyDescent="0.2">
      <c r="C1322" s="117" t="s">
        <v>197</v>
      </c>
      <c r="D1322" s="200">
        <f>D1324+D1327+D1333+D1335+D1337+D1339+D1341+D1343+D1345+D1347+D1364+D1331+D1353+D1350+D1358</f>
        <v>3963196</v>
      </c>
      <c r="E1322" s="499">
        <f>E1324+E1327+E1333+E1335+E1337+E1339+E1341+E1343+E1345+E1347+E1364+E1331+E1353+E1350+E1358</f>
        <v>34324</v>
      </c>
      <c r="F1322" s="499">
        <f>F1324+F1327+F1333+F1335+F1337+F1339+F1341+F1343+F1345+F1347+F1364+F1331+F1353+F1350+F1358</f>
        <v>25688</v>
      </c>
      <c r="G1322" s="657">
        <f>G1324+G1327+G1333+G1335+G1337+G1339+G1341+G1343+G1345+G1347+G1364+G1331+G1353+G1350+G1358</f>
        <v>44078</v>
      </c>
      <c r="H1322" s="499">
        <f t="shared" si="124"/>
        <v>4067286</v>
      </c>
      <c r="I1322" s="499">
        <v>4095700</v>
      </c>
      <c r="J1322" s="499">
        <f t="shared" si="120"/>
        <v>132504</v>
      </c>
      <c r="K1322" s="948">
        <f t="shared" si="122"/>
        <v>3.3433622763042757E-2</v>
      </c>
      <c r="L1322" s="499">
        <f t="shared" si="121"/>
        <v>28414</v>
      </c>
      <c r="M1322" s="948">
        <f t="shared" si="123"/>
        <v>6.985985249131731E-3</v>
      </c>
    </row>
    <row r="1323" spans="1:13" x14ac:dyDescent="0.2">
      <c r="C1323" s="117"/>
      <c r="D1323" s="200"/>
      <c r="E1323" s="200"/>
      <c r="F1323" s="499">
        <v>0</v>
      </c>
      <c r="G1323" s="657">
        <v>0</v>
      </c>
      <c r="H1323" s="499">
        <f t="shared" si="124"/>
        <v>0</v>
      </c>
      <c r="I1323" s="499">
        <v>0</v>
      </c>
      <c r="J1323" s="499">
        <f t="shared" si="120"/>
        <v>0</v>
      </c>
      <c r="K1323" s="948"/>
      <c r="L1323" s="499">
        <f t="shared" si="121"/>
        <v>0</v>
      </c>
      <c r="M1323" s="948"/>
    </row>
    <row r="1324" spans="1:13" x14ac:dyDescent="0.2">
      <c r="A1324" s="459" t="s">
        <v>862</v>
      </c>
      <c r="B1324" s="459" t="s">
        <v>468</v>
      </c>
      <c r="C1324" s="307" t="s">
        <v>272</v>
      </c>
      <c r="D1324" s="202">
        <v>2308500</v>
      </c>
      <c r="E1324" s="493">
        <v>34324</v>
      </c>
      <c r="F1324" s="493">
        <v>-7312</v>
      </c>
      <c r="G1324" s="601">
        <v>-24422</v>
      </c>
      <c r="H1324" s="601">
        <f t="shared" si="124"/>
        <v>2311090</v>
      </c>
      <c r="I1324" s="601">
        <v>2373000</v>
      </c>
      <c r="J1324" s="601">
        <f t="shared" si="120"/>
        <v>64500</v>
      </c>
      <c r="K1324" s="757">
        <f t="shared" si="122"/>
        <v>2.7940220922677061E-2</v>
      </c>
      <c r="L1324" s="601">
        <f t="shared" si="121"/>
        <v>61910</v>
      </c>
      <c r="M1324" s="757">
        <f t="shared" si="123"/>
        <v>2.678822546936727E-2</v>
      </c>
    </row>
    <row r="1325" spans="1:13" x14ac:dyDescent="0.2">
      <c r="A1325" s="459"/>
      <c r="B1325" s="459"/>
      <c r="C1325" s="308" t="s">
        <v>119</v>
      </c>
      <c r="D1325" s="489">
        <v>1353573</v>
      </c>
      <c r="E1325" s="489">
        <v>25653</v>
      </c>
      <c r="F1325" s="489">
        <v>17652</v>
      </c>
      <c r="G1325" s="781">
        <v>-19323</v>
      </c>
      <c r="H1325" s="567">
        <f t="shared" si="124"/>
        <v>1377555</v>
      </c>
      <c r="I1325" s="567">
        <v>1432158</v>
      </c>
      <c r="J1325" s="567">
        <f t="shared" si="120"/>
        <v>78585</v>
      </c>
      <c r="K1325" s="878">
        <f t="shared" si="122"/>
        <v>5.8057452387126514E-2</v>
      </c>
      <c r="L1325" s="567">
        <f t="shared" si="121"/>
        <v>54603</v>
      </c>
      <c r="M1325" s="878">
        <f t="shared" si="123"/>
        <v>3.9637618824656731E-2</v>
      </c>
    </row>
    <row r="1326" spans="1:13" x14ac:dyDescent="0.2">
      <c r="A1326" s="459"/>
      <c r="B1326" s="459"/>
      <c r="C1326" s="393"/>
      <c r="D1326" s="182"/>
      <c r="E1326" s="182"/>
      <c r="F1326" s="491">
        <v>0</v>
      </c>
      <c r="G1326" s="571">
        <v>0</v>
      </c>
      <c r="H1326" s="571">
        <f t="shared" si="124"/>
        <v>0</v>
      </c>
      <c r="I1326" s="571">
        <v>0</v>
      </c>
      <c r="J1326" s="571">
        <f t="shared" si="120"/>
        <v>0</v>
      </c>
      <c r="K1326" s="529"/>
      <c r="L1326" s="571">
        <f t="shared" si="121"/>
        <v>0</v>
      </c>
      <c r="M1326" s="529"/>
    </row>
    <row r="1327" spans="1:13" x14ac:dyDescent="0.2">
      <c r="A1327" s="459" t="s">
        <v>864</v>
      </c>
      <c r="B1327" s="459" t="s">
        <v>468</v>
      </c>
      <c r="C1327" s="410" t="s">
        <v>510</v>
      </c>
      <c r="D1327" s="213">
        <f>425000+46994</f>
        <v>471994</v>
      </c>
      <c r="E1327" s="213"/>
      <c r="F1327" s="213">
        <v>-22000</v>
      </c>
      <c r="G1327" s="613">
        <v>25000</v>
      </c>
      <c r="H1327" s="613">
        <f t="shared" si="124"/>
        <v>474994</v>
      </c>
      <c r="I1327" s="613">
        <v>565000</v>
      </c>
      <c r="J1327" s="613">
        <f t="shared" si="120"/>
        <v>93006</v>
      </c>
      <c r="K1327" s="825">
        <f t="shared" si="122"/>
        <v>0.19704911503112327</v>
      </c>
      <c r="L1327" s="613">
        <f t="shared" si="121"/>
        <v>90006</v>
      </c>
      <c r="M1327" s="825">
        <f t="shared" si="123"/>
        <v>0.18948870933106524</v>
      </c>
    </row>
    <row r="1328" spans="1:13" x14ac:dyDescent="0.2">
      <c r="C1328" s="389" t="s">
        <v>119</v>
      </c>
      <c r="D1328" s="495">
        <v>15000</v>
      </c>
      <c r="E1328" s="196"/>
      <c r="F1328" s="495">
        <v>0</v>
      </c>
      <c r="G1328" s="568">
        <v>0</v>
      </c>
      <c r="H1328" s="568">
        <f t="shared" si="124"/>
        <v>15000</v>
      </c>
      <c r="I1328" s="568">
        <v>15000</v>
      </c>
      <c r="J1328" s="568">
        <f t="shared" si="120"/>
        <v>0</v>
      </c>
      <c r="K1328" s="882">
        <f t="shared" si="122"/>
        <v>0</v>
      </c>
      <c r="L1328" s="568">
        <f t="shared" si="121"/>
        <v>0</v>
      </c>
      <c r="M1328" s="882">
        <f t="shared" si="123"/>
        <v>0</v>
      </c>
    </row>
    <row r="1329" spans="1:13" x14ac:dyDescent="0.2">
      <c r="C1329" s="412" t="s">
        <v>350</v>
      </c>
      <c r="D1329" s="198">
        <f>250000+23000</f>
        <v>273000</v>
      </c>
      <c r="E1329" s="198"/>
      <c r="F1329" s="198">
        <v>0</v>
      </c>
      <c r="G1329" s="607">
        <v>-35000</v>
      </c>
      <c r="H1329" s="607">
        <f t="shared" si="124"/>
        <v>238000</v>
      </c>
      <c r="I1329" s="607">
        <v>275000</v>
      </c>
      <c r="J1329" s="607">
        <f t="shared" si="120"/>
        <v>2000</v>
      </c>
      <c r="K1329" s="939">
        <f t="shared" si="122"/>
        <v>7.326007326007326E-3</v>
      </c>
      <c r="L1329" s="607">
        <f t="shared" si="121"/>
        <v>37000</v>
      </c>
      <c r="M1329" s="939">
        <f t="shared" si="123"/>
        <v>0.15546218487394958</v>
      </c>
    </row>
    <row r="1330" spans="1:13" x14ac:dyDescent="0.2">
      <c r="C1330" s="389"/>
      <c r="D1330" s="196"/>
      <c r="E1330" s="196"/>
      <c r="F1330" s="495">
        <v>0</v>
      </c>
      <c r="G1330" s="568">
        <v>0</v>
      </c>
      <c r="H1330" s="568">
        <f t="shared" si="124"/>
        <v>0</v>
      </c>
      <c r="I1330" s="568">
        <v>0</v>
      </c>
      <c r="J1330" s="568">
        <f t="shared" si="120"/>
        <v>0</v>
      </c>
      <c r="K1330" s="882"/>
      <c r="L1330" s="568">
        <f t="shared" si="121"/>
        <v>0</v>
      </c>
      <c r="M1330" s="882"/>
    </row>
    <row r="1331" spans="1:13" x14ac:dyDescent="0.2">
      <c r="A1331" s="459" t="s">
        <v>864</v>
      </c>
      <c r="B1331" s="459" t="s">
        <v>468</v>
      </c>
      <c r="C1331" s="410" t="s">
        <v>238</v>
      </c>
      <c r="D1331" s="213">
        <v>20000</v>
      </c>
      <c r="E1331" s="213"/>
      <c r="F1331" s="213">
        <v>0</v>
      </c>
      <c r="G1331" s="613">
        <v>0</v>
      </c>
      <c r="H1331" s="613">
        <f t="shared" si="124"/>
        <v>20000</v>
      </c>
      <c r="I1331" s="613">
        <v>20000</v>
      </c>
      <c r="J1331" s="613">
        <f t="shared" si="120"/>
        <v>0</v>
      </c>
      <c r="K1331" s="825">
        <f t="shared" si="122"/>
        <v>0</v>
      </c>
      <c r="L1331" s="613">
        <f t="shared" si="121"/>
        <v>0</v>
      </c>
      <c r="M1331" s="825">
        <f t="shared" si="123"/>
        <v>0</v>
      </c>
    </row>
    <row r="1332" spans="1:13" x14ac:dyDescent="0.2">
      <c r="A1332" s="459"/>
      <c r="B1332" s="459"/>
      <c r="C1332" s="389"/>
      <c r="D1332" s="196"/>
      <c r="E1332" s="196"/>
      <c r="F1332" s="495">
        <v>0</v>
      </c>
      <c r="G1332" s="568">
        <v>0</v>
      </c>
      <c r="H1332" s="568">
        <f t="shared" si="124"/>
        <v>0</v>
      </c>
      <c r="I1332" s="568">
        <v>0</v>
      </c>
      <c r="J1332" s="568">
        <f t="shared" si="120"/>
        <v>0</v>
      </c>
      <c r="K1332" s="882"/>
      <c r="L1332" s="568">
        <f t="shared" si="121"/>
        <v>0</v>
      </c>
      <c r="M1332" s="882"/>
    </row>
    <row r="1333" spans="1:13" x14ac:dyDescent="0.2">
      <c r="A1333" s="459" t="s">
        <v>866</v>
      </c>
      <c r="B1333" s="459" t="s">
        <v>468</v>
      </c>
      <c r="C1333" s="410" t="s">
        <v>273</v>
      </c>
      <c r="D1333" s="213">
        <v>60000</v>
      </c>
      <c r="E1333" s="213"/>
      <c r="F1333" s="213">
        <v>0</v>
      </c>
      <c r="G1333" s="613">
        <v>0</v>
      </c>
      <c r="H1333" s="613">
        <f t="shared" si="124"/>
        <v>60000</v>
      </c>
      <c r="I1333" s="613">
        <v>60000</v>
      </c>
      <c r="J1333" s="613">
        <f t="shared" si="120"/>
        <v>0</v>
      </c>
      <c r="K1333" s="825">
        <f t="shared" si="122"/>
        <v>0</v>
      </c>
      <c r="L1333" s="613">
        <f t="shared" si="121"/>
        <v>0</v>
      </c>
      <c r="M1333" s="825">
        <f t="shared" si="123"/>
        <v>0</v>
      </c>
    </row>
    <row r="1334" spans="1:13" x14ac:dyDescent="0.2">
      <c r="A1334" s="459"/>
      <c r="B1334" s="459"/>
      <c r="C1334" s="338"/>
      <c r="D1334" s="179"/>
      <c r="E1334" s="179"/>
      <c r="F1334" s="179">
        <v>0</v>
      </c>
      <c r="G1334" s="577">
        <v>0</v>
      </c>
      <c r="H1334" s="577">
        <f t="shared" si="124"/>
        <v>0</v>
      </c>
      <c r="I1334" s="577">
        <v>0</v>
      </c>
      <c r="J1334" s="577">
        <f t="shared" si="120"/>
        <v>0</v>
      </c>
      <c r="K1334" s="757"/>
      <c r="L1334" s="577">
        <f t="shared" si="121"/>
        <v>0</v>
      </c>
      <c r="M1334" s="757"/>
    </row>
    <row r="1335" spans="1:13" x14ac:dyDescent="0.2">
      <c r="A1335" s="459" t="s">
        <v>866</v>
      </c>
      <c r="B1335" s="459" t="s">
        <v>468</v>
      </c>
      <c r="C1335" s="338" t="s">
        <v>351</v>
      </c>
      <c r="D1335" s="179">
        <v>3500</v>
      </c>
      <c r="E1335" s="179"/>
      <c r="F1335" s="179">
        <v>0</v>
      </c>
      <c r="G1335" s="577">
        <v>0</v>
      </c>
      <c r="H1335" s="577">
        <f t="shared" si="124"/>
        <v>3500</v>
      </c>
      <c r="I1335" s="577">
        <v>4500</v>
      </c>
      <c r="J1335" s="577">
        <f t="shared" si="120"/>
        <v>1000</v>
      </c>
      <c r="K1335" s="757">
        <f t="shared" si="122"/>
        <v>0.2857142857142857</v>
      </c>
      <c r="L1335" s="577">
        <f t="shared" si="121"/>
        <v>1000</v>
      </c>
      <c r="M1335" s="757">
        <f t="shared" si="123"/>
        <v>0.2857142857142857</v>
      </c>
    </row>
    <row r="1336" spans="1:13" x14ac:dyDescent="0.2">
      <c r="A1336" s="459"/>
      <c r="B1336" s="459"/>
      <c r="C1336" s="393"/>
      <c r="D1336" s="182"/>
      <c r="E1336" s="182"/>
      <c r="F1336" s="491">
        <v>0</v>
      </c>
      <c r="G1336" s="571">
        <v>0</v>
      </c>
      <c r="H1336" s="571">
        <f t="shared" si="124"/>
        <v>0</v>
      </c>
      <c r="I1336" s="571">
        <v>0</v>
      </c>
      <c r="J1336" s="571">
        <f t="shared" ref="J1336:J1399" si="126">I1336-D1336</f>
        <v>0</v>
      </c>
      <c r="K1336" s="529"/>
      <c r="L1336" s="571">
        <f t="shared" ref="L1336:L1399" si="127">I1336-H1336</f>
        <v>0</v>
      </c>
      <c r="M1336" s="529"/>
    </row>
    <row r="1337" spans="1:13" x14ac:dyDescent="0.2">
      <c r="A1337" s="459" t="s">
        <v>870</v>
      </c>
      <c r="B1337" s="459" t="s">
        <v>468</v>
      </c>
      <c r="C1337" s="315" t="s">
        <v>269</v>
      </c>
      <c r="D1337" s="197">
        <f>120000+10500</f>
        <v>130500</v>
      </c>
      <c r="E1337" s="197"/>
      <c r="F1337" s="496">
        <v>40000</v>
      </c>
      <c r="G1337" s="613">
        <v>20000</v>
      </c>
      <c r="H1337" s="613">
        <f t="shared" si="124"/>
        <v>190500</v>
      </c>
      <c r="I1337" s="613">
        <v>135000</v>
      </c>
      <c r="J1337" s="613">
        <f t="shared" si="126"/>
        <v>4500</v>
      </c>
      <c r="K1337" s="825">
        <f t="shared" ref="K1337:K1398" si="128">J1337/D1337</f>
        <v>3.4482758620689655E-2</v>
      </c>
      <c r="L1337" s="613">
        <f t="shared" si="127"/>
        <v>-55500</v>
      </c>
      <c r="M1337" s="825">
        <f t="shared" ref="M1337:M1398" si="129">L1337/H1337</f>
        <v>-0.29133858267716534</v>
      </c>
    </row>
    <row r="1338" spans="1:13" x14ac:dyDescent="0.2">
      <c r="A1338" s="459"/>
      <c r="B1338" s="459"/>
      <c r="C1338" s="315"/>
      <c r="D1338" s="197"/>
      <c r="E1338" s="197"/>
      <c r="F1338" s="496">
        <v>0</v>
      </c>
      <c r="G1338" s="613">
        <v>0</v>
      </c>
      <c r="H1338" s="613">
        <f t="shared" si="124"/>
        <v>0</v>
      </c>
      <c r="I1338" s="613">
        <v>0</v>
      </c>
      <c r="J1338" s="613">
        <f t="shared" si="126"/>
        <v>0</v>
      </c>
      <c r="K1338" s="825"/>
      <c r="L1338" s="613">
        <f t="shared" si="127"/>
        <v>0</v>
      </c>
      <c r="M1338" s="825"/>
    </row>
    <row r="1339" spans="1:13" x14ac:dyDescent="0.2">
      <c r="A1339" s="459" t="s">
        <v>870</v>
      </c>
      <c r="B1339" s="459" t="s">
        <v>468</v>
      </c>
      <c r="C1339" s="410" t="s">
        <v>274</v>
      </c>
      <c r="D1339" s="213">
        <v>17000</v>
      </c>
      <c r="E1339" s="213"/>
      <c r="F1339" s="213">
        <v>6000</v>
      </c>
      <c r="G1339" s="613"/>
      <c r="H1339" s="613">
        <f t="shared" si="124"/>
        <v>23000</v>
      </c>
      <c r="I1339" s="613">
        <v>18000</v>
      </c>
      <c r="J1339" s="613">
        <f t="shared" si="126"/>
        <v>1000</v>
      </c>
      <c r="K1339" s="825">
        <f t="shared" si="128"/>
        <v>5.8823529411764705E-2</v>
      </c>
      <c r="L1339" s="613">
        <f t="shared" si="127"/>
        <v>-5000</v>
      </c>
      <c r="M1339" s="825">
        <f t="shared" si="129"/>
        <v>-0.21739130434782608</v>
      </c>
    </row>
    <row r="1340" spans="1:13" x14ac:dyDescent="0.2">
      <c r="A1340" s="459"/>
      <c r="B1340" s="459"/>
      <c r="C1340" s="315"/>
      <c r="D1340" s="197"/>
      <c r="E1340" s="197"/>
      <c r="F1340" s="496">
        <v>0</v>
      </c>
      <c r="G1340" s="613">
        <v>0</v>
      </c>
      <c r="H1340" s="613">
        <f t="shared" si="124"/>
        <v>0</v>
      </c>
      <c r="I1340" s="613">
        <v>0</v>
      </c>
      <c r="J1340" s="613">
        <f t="shared" si="126"/>
        <v>0</v>
      </c>
      <c r="K1340" s="825"/>
      <c r="L1340" s="613">
        <f t="shared" si="127"/>
        <v>0</v>
      </c>
      <c r="M1340" s="825"/>
    </row>
    <row r="1341" spans="1:13" x14ac:dyDescent="0.2">
      <c r="A1341" s="459" t="s">
        <v>869</v>
      </c>
      <c r="B1341" s="459" t="s">
        <v>468</v>
      </c>
      <c r="C1341" s="104" t="s">
        <v>275</v>
      </c>
      <c r="D1341" s="172">
        <v>47500</v>
      </c>
      <c r="E1341" s="172"/>
      <c r="F1341" s="172">
        <v>0</v>
      </c>
      <c r="G1341" s="574"/>
      <c r="H1341" s="574">
        <f t="shared" si="124"/>
        <v>47500</v>
      </c>
      <c r="I1341" s="574">
        <v>47500</v>
      </c>
      <c r="J1341" s="574">
        <f t="shared" si="126"/>
        <v>0</v>
      </c>
      <c r="K1341" s="757">
        <f t="shared" si="128"/>
        <v>0</v>
      </c>
      <c r="L1341" s="574">
        <f t="shared" si="127"/>
        <v>0</v>
      </c>
      <c r="M1341" s="757">
        <f t="shared" si="129"/>
        <v>0</v>
      </c>
    </row>
    <row r="1342" spans="1:13" x14ac:dyDescent="0.2">
      <c r="A1342" s="459"/>
      <c r="B1342" s="459"/>
      <c r="C1342" s="320"/>
      <c r="D1342" s="146"/>
      <c r="E1342" s="146"/>
      <c r="F1342" s="498">
        <v>0</v>
      </c>
      <c r="G1342" s="577">
        <v>0</v>
      </c>
      <c r="H1342" s="577">
        <f t="shared" ref="H1342:H1405" si="130">D1342+E1342+F1342+G1342</f>
        <v>0</v>
      </c>
      <c r="I1342" s="577">
        <v>0</v>
      </c>
      <c r="J1342" s="577">
        <f t="shared" si="126"/>
        <v>0</v>
      </c>
      <c r="K1342" s="757"/>
      <c r="L1342" s="577">
        <f t="shared" si="127"/>
        <v>0</v>
      </c>
      <c r="M1342" s="757"/>
    </row>
    <row r="1343" spans="1:13" x14ac:dyDescent="0.2">
      <c r="A1343" s="459" t="s">
        <v>869</v>
      </c>
      <c r="B1343" s="459" t="s">
        <v>468</v>
      </c>
      <c r="C1343" s="104" t="s">
        <v>252</v>
      </c>
      <c r="D1343" s="172">
        <v>440500</v>
      </c>
      <c r="E1343" s="172"/>
      <c r="F1343" s="172">
        <v>35000</v>
      </c>
      <c r="G1343" s="574">
        <v>30000</v>
      </c>
      <c r="H1343" s="574">
        <f t="shared" si="130"/>
        <v>505500</v>
      </c>
      <c r="I1343" s="574">
        <v>435500</v>
      </c>
      <c r="J1343" s="574">
        <f t="shared" si="126"/>
        <v>-5000</v>
      </c>
      <c r="K1343" s="757">
        <f t="shared" si="128"/>
        <v>-1.1350737797956867E-2</v>
      </c>
      <c r="L1343" s="574">
        <f t="shared" si="127"/>
        <v>-70000</v>
      </c>
      <c r="M1343" s="757">
        <f t="shared" si="129"/>
        <v>-0.13847675568743817</v>
      </c>
    </row>
    <row r="1344" spans="1:13" x14ac:dyDescent="0.2">
      <c r="A1344" s="459"/>
      <c r="B1344" s="459"/>
      <c r="C1344" s="338"/>
      <c r="D1344" s="179"/>
      <c r="E1344" s="179"/>
      <c r="F1344" s="179">
        <v>0</v>
      </c>
      <c r="G1344" s="577">
        <v>0</v>
      </c>
      <c r="H1344" s="577">
        <f t="shared" si="130"/>
        <v>0</v>
      </c>
      <c r="I1344" s="577">
        <v>0</v>
      </c>
      <c r="J1344" s="577">
        <f t="shared" si="126"/>
        <v>0</v>
      </c>
      <c r="K1344" s="757"/>
      <c r="L1344" s="577">
        <f t="shared" si="127"/>
        <v>0</v>
      </c>
      <c r="M1344" s="757"/>
    </row>
    <row r="1345" spans="1:13" x14ac:dyDescent="0.2">
      <c r="A1345" s="459" t="s">
        <v>881</v>
      </c>
      <c r="B1345" s="459" t="s">
        <v>468</v>
      </c>
      <c r="C1345" s="315" t="s">
        <v>352</v>
      </c>
      <c r="D1345" s="197">
        <v>8000</v>
      </c>
      <c r="E1345" s="197"/>
      <c r="F1345" s="496">
        <v>0</v>
      </c>
      <c r="G1345" s="613">
        <v>0</v>
      </c>
      <c r="H1345" s="613">
        <f t="shared" si="130"/>
        <v>8000</v>
      </c>
      <c r="I1345" s="613">
        <v>9000</v>
      </c>
      <c r="J1345" s="613">
        <f t="shared" si="126"/>
        <v>1000</v>
      </c>
      <c r="K1345" s="825">
        <f t="shared" si="128"/>
        <v>0.125</v>
      </c>
      <c r="L1345" s="613">
        <f t="shared" si="127"/>
        <v>1000</v>
      </c>
      <c r="M1345" s="825">
        <f t="shared" si="129"/>
        <v>0.125</v>
      </c>
    </row>
    <row r="1346" spans="1:13" x14ac:dyDescent="0.2">
      <c r="C1346" s="315"/>
      <c r="D1346" s="197"/>
      <c r="E1346" s="197"/>
      <c r="F1346" s="496">
        <v>0</v>
      </c>
      <c r="G1346" s="613">
        <v>0</v>
      </c>
      <c r="H1346" s="613">
        <f t="shared" si="130"/>
        <v>0</v>
      </c>
      <c r="I1346" s="613">
        <v>0</v>
      </c>
      <c r="J1346" s="613">
        <f t="shared" si="126"/>
        <v>0</v>
      </c>
      <c r="K1346" s="825"/>
      <c r="L1346" s="613">
        <f t="shared" si="127"/>
        <v>0</v>
      </c>
      <c r="M1346" s="825"/>
    </row>
    <row r="1347" spans="1:13" x14ac:dyDescent="0.2">
      <c r="A1347" s="459" t="s">
        <v>869</v>
      </c>
      <c r="B1347" s="459" t="s">
        <v>468</v>
      </c>
      <c r="C1347" s="315" t="s">
        <v>728</v>
      </c>
      <c r="D1347" s="197">
        <v>360000</v>
      </c>
      <c r="E1347" s="197"/>
      <c r="F1347" s="496">
        <v>-16000</v>
      </c>
      <c r="G1347" s="613">
        <v>-11500</v>
      </c>
      <c r="H1347" s="613">
        <f t="shared" si="130"/>
        <v>332500</v>
      </c>
      <c r="I1347" s="613">
        <v>345000</v>
      </c>
      <c r="J1347" s="613">
        <f t="shared" si="126"/>
        <v>-15000</v>
      </c>
      <c r="K1347" s="825">
        <f t="shared" si="128"/>
        <v>-4.1666666666666664E-2</v>
      </c>
      <c r="L1347" s="613">
        <f t="shared" si="127"/>
        <v>12500</v>
      </c>
      <c r="M1347" s="825">
        <f t="shared" si="129"/>
        <v>3.7593984962406013E-2</v>
      </c>
    </row>
    <row r="1348" spans="1:13" x14ac:dyDescent="0.2">
      <c r="C1348" s="389" t="s">
        <v>119</v>
      </c>
      <c r="D1348" s="495">
        <v>104153</v>
      </c>
      <c r="E1348" s="196"/>
      <c r="F1348" s="495">
        <v>-2880</v>
      </c>
      <c r="G1348" s="568"/>
      <c r="H1348" s="568">
        <f t="shared" si="130"/>
        <v>101273</v>
      </c>
      <c r="I1348" s="568">
        <v>104153</v>
      </c>
      <c r="J1348" s="568">
        <f t="shared" si="126"/>
        <v>0</v>
      </c>
      <c r="K1348" s="882">
        <f t="shared" si="128"/>
        <v>0</v>
      </c>
      <c r="L1348" s="568">
        <f t="shared" si="127"/>
        <v>2880</v>
      </c>
      <c r="M1348" s="882">
        <f t="shared" si="129"/>
        <v>2.8437984457851551E-2</v>
      </c>
    </row>
    <row r="1349" spans="1:13" x14ac:dyDescent="0.2">
      <c r="C1349" s="292"/>
      <c r="D1349" s="118"/>
      <c r="E1349" s="118"/>
      <c r="F1349" s="477">
        <v>0</v>
      </c>
      <c r="G1349" s="566">
        <v>0</v>
      </c>
      <c r="H1349" s="566">
        <f t="shared" si="130"/>
        <v>0</v>
      </c>
      <c r="I1349" s="566">
        <v>0</v>
      </c>
      <c r="J1349" s="566">
        <f t="shared" si="126"/>
        <v>0</v>
      </c>
      <c r="K1349" s="816"/>
      <c r="L1349" s="566">
        <f t="shared" si="127"/>
        <v>0</v>
      </c>
      <c r="M1349" s="816"/>
    </row>
    <row r="1350" spans="1:13" x14ac:dyDescent="0.2">
      <c r="A1350" s="459" t="s">
        <v>870</v>
      </c>
      <c r="B1350" s="459" t="s">
        <v>468</v>
      </c>
      <c r="C1350" s="315" t="s">
        <v>729</v>
      </c>
      <c r="D1350" s="197">
        <v>30400</v>
      </c>
      <c r="E1350" s="197"/>
      <c r="F1350" s="496">
        <v>0</v>
      </c>
      <c r="G1350" s="613">
        <v>5000</v>
      </c>
      <c r="H1350" s="613">
        <f t="shared" si="130"/>
        <v>35400</v>
      </c>
      <c r="I1350" s="613">
        <v>31000</v>
      </c>
      <c r="J1350" s="613">
        <f t="shared" si="126"/>
        <v>600</v>
      </c>
      <c r="K1350" s="825">
        <f t="shared" si="128"/>
        <v>1.9736842105263157E-2</v>
      </c>
      <c r="L1350" s="613">
        <f t="shared" si="127"/>
        <v>-4400</v>
      </c>
      <c r="M1350" s="825">
        <f t="shared" si="129"/>
        <v>-0.12429378531073447</v>
      </c>
    </row>
    <row r="1351" spans="1:13" x14ac:dyDescent="0.2">
      <c r="C1351" s="299" t="s">
        <v>119</v>
      </c>
      <c r="D1351" s="495">
        <v>7200</v>
      </c>
      <c r="E1351" s="196"/>
      <c r="F1351" s="495">
        <v>-6000</v>
      </c>
      <c r="G1351" s="568"/>
      <c r="H1351" s="568">
        <f t="shared" si="130"/>
        <v>1200</v>
      </c>
      <c r="I1351" s="568">
        <v>0</v>
      </c>
      <c r="J1351" s="568">
        <f t="shared" si="126"/>
        <v>-7200</v>
      </c>
      <c r="K1351" s="882">
        <f t="shared" si="128"/>
        <v>-1</v>
      </c>
      <c r="L1351" s="568">
        <f t="shared" si="127"/>
        <v>-1200</v>
      </c>
      <c r="M1351" s="882">
        <f t="shared" si="129"/>
        <v>-1</v>
      </c>
    </row>
    <row r="1352" spans="1:13" x14ac:dyDescent="0.2">
      <c r="C1352" s="292"/>
      <c r="D1352" s="118"/>
      <c r="E1352" s="118"/>
      <c r="F1352" s="477">
        <v>0</v>
      </c>
      <c r="G1352" s="566">
        <v>0</v>
      </c>
      <c r="H1352" s="566">
        <f t="shared" si="130"/>
        <v>0</v>
      </c>
      <c r="I1352" s="566">
        <v>0</v>
      </c>
      <c r="J1352" s="566">
        <f t="shared" si="126"/>
        <v>0</v>
      </c>
      <c r="K1352" s="816"/>
      <c r="L1352" s="566">
        <f t="shared" si="127"/>
        <v>0</v>
      </c>
      <c r="M1352" s="816"/>
    </row>
    <row r="1353" spans="1:13" ht="25.5" x14ac:dyDescent="0.2">
      <c r="A1353" s="459" t="s">
        <v>872</v>
      </c>
      <c r="B1353" s="459" t="s">
        <v>468</v>
      </c>
      <c r="C1353" s="315" t="s">
        <v>561</v>
      </c>
      <c r="D1353" s="197">
        <v>11902</v>
      </c>
      <c r="E1353" s="197"/>
      <c r="F1353" s="496">
        <v>0</v>
      </c>
      <c r="G1353" s="613">
        <v>0</v>
      </c>
      <c r="H1353" s="613">
        <f t="shared" si="130"/>
        <v>11902</v>
      </c>
      <c r="I1353" s="613">
        <v>0</v>
      </c>
      <c r="J1353" s="613">
        <f t="shared" si="126"/>
        <v>-11902</v>
      </c>
      <c r="K1353" s="825">
        <f t="shared" si="128"/>
        <v>-1</v>
      </c>
      <c r="L1353" s="613">
        <f t="shared" si="127"/>
        <v>-11902</v>
      </c>
      <c r="M1353" s="825">
        <f t="shared" si="129"/>
        <v>-1</v>
      </c>
    </row>
    <row r="1354" spans="1:13" x14ac:dyDescent="0.2">
      <c r="C1354" s="389" t="s">
        <v>119</v>
      </c>
      <c r="D1354" s="495">
        <v>7735</v>
      </c>
      <c r="E1354" s="196"/>
      <c r="F1354" s="495">
        <v>0</v>
      </c>
      <c r="G1354" s="568">
        <v>0</v>
      </c>
      <c r="H1354" s="568">
        <f t="shared" si="130"/>
        <v>7735</v>
      </c>
      <c r="I1354" s="568">
        <v>0</v>
      </c>
      <c r="J1354" s="568">
        <f t="shared" si="126"/>
        <v>-7735</v>
      </c>
      <c r="K1354" s="882">
        <f t="shared" si="128"/>
        <v>-1</v>
      </c>
      <c r="L1354" s="568">
        <f t="shared" si="127"/>
        <v>-7735</v>
      </c>
      <c r="M1354" s="882">
        <f t="shared" si="129"/>
        <v>-1</v>
      </c>
    </row>
    <row r="1355" spans="1:13" x14ac:dyDescent="0.2">
      <c r="C1355" s="340"/>
      <c r="D1355" s="207"/>
      <c r="E1355" s="207"/>
      <c r="F1355" s="207">
        <v>0</v>
      </c>
      <c r="G1355" s="599">
        <v>0</v>
      </c>
      <c r="H1355" s="599">
        <f t="shared" si="130"/>
        <v>0</v>
      </c>
      <c r="I1355" s="599">
        <v>0</v>
      </c>
      <c r="J1355" s="599">
        <f t="shared" si="126"/>
        <v>0</v>
      </c>
      <c r="K1355" s="883"/>
      <c r="L1355" s="599">
        <f t="shared" si="127"/>
        <v>0</v>
      </c>
      <c r="M1355" s="883"/>
    </row>
    <row r="1356" spans="1:13" x14ac:dyDescent="0.2">
      <c r="C1356" s="299" t="s">
        <v>329</v>
      </c>
      <c r="D1356" s="196">
        <v>10117</v>
      </c>
      <c r="E1356" s="196"/>
      <c r="F1356" s="495">
        <v>0</v>
      </c>
      <c r="G1356" s="568">
        <v>0</v>
      </c>
      <c r="H1356" s="568">
        <f t="shared" si="130"/>
        <v>10117</v>
      </c>
      <c r="I1356" s="568">
        <v>0</v>
      </c>
      <c r="J1356" s="568">
        <f t="shared" si="126"/>
        <v>-10117</v>
      </c>
      <c r="K1356" s="882">
        <f t="shared" si="128"/>
        <v>-1</v>
      </c>
      <c r="L1356" s="568">
        <f t="shared" si="127"/>
        <v>-10117</v>
      </c>
      <c r="M1356" s="882">
        <f t="shared" si="129"/>
        <v>-1</v>
      </c>
    </row>
    <row r="1357" spans="1:13" x14ac:dyDescent="0.2">
      <c r="C1357" s="393"/>
      <c r="D1357" s="182"/>
      <c r="E1357" s="182"/>
      <c r="F1357" s="491">
        <v>0</v>
      </c>
      <c r="G1357" s="571">
        <v>0</v>
      </c>
      <c r="H1357" s="571">
        <f t="shared" si="130"/>
        <v>0</v>
      </c>
      <c r="I1357" s="571">
        <v>0</v>
      </c>
      <c r="J1357" s="571">
        <f t="shared" si="126"/>
        <v>0</v>
      </c>
      <c r="K1357" s="529"/>
      <c r="L1357" s="571">
        <f t="shared" si="127"/>
        <v>0</v>
      </c>
      <c r="M1357" s="529"/>
    </row>
    <row r="1358" spans="1:13" ht="38.25" x14ac:dyDescent="0.2">
      <c r="A1358" s="459" t="s">
        <v>864</v>
      </c>
      <c r="B1358" s="459" t="s">
        <v>468</v>
      </c>
      <c r="C1358" s="315" t="s">
        <v>730</v>
      </c>
      <c r="D1358" s="197">
        <v>33400</v>
      </c>
      <c r="E1358" s="197"/>
      <c r="F1358" s="496">
        <v>0</v>
      </c>
      <c r="G1358" s="613">
        <v>0</v>
      </c>
      <c r="H1358" s="613">
        <f t="shared" si="130"/>
        <v>33400</v>
      </c>
      <c r="I1358" s="613">
        <v>32200</v>
      </c>
      <c r="J1358" s="613">
        <f t="shared" si="126"/>
        <v>-1200</v>
      </c>
      <c r="K1358" s="825">
        <f t="shared" si="128"/>
        <v>-3.5928143712574849E-2</v>
      </c>
      <c r="L1358" s="613">
        <f t="shared" si="127"/>
        <v>-1200</v>
      </c>
      <c r="M1358" s="825">
        <f t="shared" si="129"/>
        <v>-3.5928143712574849E-2</v>
      </c>
    </row>
    <row r="1359" spans="1:13" x14ac:dyDescent="0.2">
      <c r="C1359" s="389" t="s">
        <v>119</v>
      </c>
      <c r="D1359" s="495">
        <v>19200</v>
      </c>
      <c r="E1359" s="196"/>
      <c r="F1359" s="495">
        <v>0</v>
      </c>
      <c r="G1359" s="568">
        <v>0</v>
      </c>
      <c r="H1359" s="568">
        <f t="shared" si="130"/>
        <v>19200</v>
      </c>
      <c r="I1359" s="568">
        <v>19200</v>
      </c>
      <c r="J1359" s="568">
        <f t="shared" si="126"/>
        <v>0</v>
      </c>
      <c r="K1359" s="882">
        <f t="shared" si="128"/>
        <v>0</v>
      </c>
      <c r="L1359" s="568">
        <f t="shared" si="127"/>
        <v>0</v>
      </c>
      <c r="M1359" s="882">
        <f t="shared" si="129"/>
        <v>0</v>
      </c>
    </row>
    <row r="1360" spans="1:13" x14ac:dyDescent="0.2">
      <c r="C1360" s="340"/>
      <c r="D1360" s="207"/>
      <c r="E1360" s="207"/>
      <c r="F1360" s="207">
        <v>0</v>
      </c>
      <c r="G1360" s="599">
        <v>0</v>
      </c>
      <c r="H1360" s="599">
        <f t="shared" si="130"/>
        <v>0</v>
      </c>
      <c r="I1360" s="599">
        <v>0</v>
      </c>
      <c r="J1360" s="599">
        <f t="shared" si="126"/>
        <v>0</v>
      </c>
      <c r="K1360" s="883"/>
      <c r="L1360" s="599">
        <f t="shared" si="127"/>
        <v>0</v>
      </c>
      <c r="M1360" s="883"/>
    </row>
    <row r="1361" spans="1:13" x14ac:dyDescent="0.2">
      <c r="C1361" s="299" t="s">
        <v>329</v>
      </c>
      <c r="D1361" s="196">
        <v>28390</v>
      </c>
      <c r="E1361" s="196"/>
      <c r="F1361" s="495">
        <v>0</v>
      </c>
      <c r="G1361" s="568">
        <v>0</v>
      </c>
      <c r="H1361" s="568">
        <f t="shared" si="130"/>
        <v>28390</v>
      </c>
      <c r="I1361" s="568">
        <v>27370</v>
      </c>
      <c r="J1361" s="568">
        <f t="shared" si="126"/>
        <v>-1020</v>
      </c>
      <c r="K1361" s="882">
        <f t="shared" si="128"/>
        <v>-3.5928143712574849E-2</v>
      </c>
      <c r="L1361" s="568">
        <f t="shared" si="127"/>
        <v>-1020</v>
      </c>
      <c r="M1361" s="882">
        <f t="shared" si="129"/>
        <v>-3.5928143712574849E-2</v>
      </c>
    </row>
    <row r="1362" spans="1:13" x14ac:dyDescent="0.2">
      <c r="C1362" s="299" t="s">
        <v>731</v>
      </c>
      <c r="D1362" s="196">
        <v>5010</v>
      </c>
      <c r="E1362" s="196"/>
      <c r="F1362" s="495">
        <v>0</v>
      </c>
      <c r="G1362" s="568">
        <v>0</v>
      </c>
      <c r="H1362" s="568">
        <f t="shared" si="130"/>
        <v>5010</v>
      </c>
      <c r="I1362" s="568">
        <v>4830</v>
      </c>
      <c r="J1362" s="568">
        <f t="shared" si="126"/>
        <v>-180</v>
      </c>
      <c r="K1362" s="882">
        <f t="shared" si="128"/>
        <v>-3.5928143712574849E-2</v>
      </c>
      <c r="L1362" s="568">
        <f t="shared" si="127"/>
        <v>-180</v>
      </c>
      <c r="M1362" s="882">
        <f t="shared" si="129"/>
        <v>-3.5928143712574849E-2</v>
      </c>
    </row>
    <row r="1363" spans="1:13" x14ac:dyDescent="0.2">
      <c r="C1363" s="299"/>
      <c r="D1363" s="196"/>
      <c r="E1363" s="196"/>
      <c r="F1363" s="495">
        <v>0</v>
      </c>
      <c r="G1363" s="568">
        <v>0</v>
      </c>
      <c r="H1363" s="568">
        <f t="shared" si="130"/>
        <v>0</v>
      </c>
      <c r="I1363" s="568">
        <v>0</v>
      </c>
      <c r="J1363" s="568">
        <f t="shared" si="126"/>
        <v>0</v>
      </c>
      <c r="K1363" s="882"/>
      <c r="L1363" s="568">
        <f t="shared" si="127"/>
        <v>0</v>
      </c>
      <c r="M1363" s="882"/>
    </row>
    <row r="1364" spans="1:13" x14ac:dyDescent="0.2">
      <c r="A1364" s="459" t="s">
        <v>883</v>
      </c>
      <c r="B1364" s="459" t="s">
        <v>468</v>
      </c>
      <c r="C1364" s="104" t="s">
        <v>276</v>
      </c>
      <c r="D1364" s="172">
        <v>20000</v>
      </c>
      <c r="E1364" s="172"/>
      <c r="F1364" s="172">
        <v>-10000</v>
      </c>
      <c r="G1364" s="574"/>
      <c r="H1364" s="574">
        <f t="shared" si="130"/>
        <v>10000</v>
      </c>
      <c r="I1364" s="574">
        <v>20000</v>
      </c>
      <c r="J1364" s="574">
        <f t="shared" si="126"/>
        <v>0</v>
      </c>
      <c r="K1364" s="757">
        <f t="shared" si="128"/>
        <v>0</v>
      </c>
      <c r="L1364" s="574">
        <f t="shared" si="127"/>
        <v>10000</v>
      </c>
      <c r="M1364" s="757">
        <f t="shared" si="129"/>
        <v>1</v>
      </c>
    </row>
    <row r="1365" spans="1:13" x14ac:dyDescent="0.2">
      <c r="C1365" s="299"/>
      <c r="D1365" s="196"/>
      <c r="E1365" s="196"/>
      <c r="F1365" s="495">
        <v>0</v>
      </c>
      <c r="G1365" s="495"/>
      <c r="H1365" s="495">
        <f t="shared" si="130"/>
        <v>0</v>
      </c>
      <c r="I1365" s="495">
        <v>0</v>
      </c>
      <c r="J1365" s="495">
        <f t="shared" si="126"/>
        <v>0</v>
      </c>
      <c r="K1365" s="888"/>
      <c r="L1365" s="495">
        <f t="shared" si="127"/>
        <v>0</v>
      </c>
      <c r="M1365" s="888"/>
    </row>
    <row r="1366" spans="1:13" x14ac:dyDescent="0.2">
      <c r="C1366" s="95"/>
      <c r="D1366" s="182"/>
      <c r="E1366" s="182"/>
      <c r="F1366" s="491">
        <v>0</v>
      </c>
      <c r="G1366" s="491"/>
      <c r="H1366" s="491">
        <f t="shared" si="130"/>
        <v>0</v>
      </c>
      <c r="I1366" s="491">
        <v>0</v>
      </c>
      <c r="J1366" s="491">
        <f t="shared" si="126"/>
        <v>0</v>
      </c>
      <c r="K1366" s="866"/>
      <c r="L1366" s="491">
        <f t="shared" si="127"/>
        <v>0</v>
      </c>
      <c r="M1366" s="866"/>
    </row>
    <row r="1367" spans="1:13" ht="15.75" x14ac:dyDescent="0.2">
      <c r="C1367" s="289" t="s">
        <v>277</v>
      </c>
      <c r="D1367" s="176"/>
      <c r="E1367" s="176"/>
      <c r="F1367" s="176">
        <v>0</v>
      </c>
      <c r="G1367" s="176"/>
      <c r="H1367" s="176">
        <f t="shared" si="130"/>
        <v>0</v>
      </c>
      <c r="I1367" s="176">
        <v>0</v>
      </c>
      <c r="J1367" s="176">
        <f t="shared" si="126"/>
        <v>0</v>
      </c>
      <c r="K1367" s="906"/>
      <c r="L1367" s="176">
        <f t="shared" si="127"/>
        <v>0</v>
      </c>
      <c r="M1367" s="906"/>
    </row>
    <row r="1368" spans="1:13" x14ac:dyDescent="0.2">
      <c r="C1368" s="108"/>
      <c r="D1368" s="179"/>
      <c r="E1368" s="179"/>
      <c r="F1368" s="179">
        <v>0</v>
      </c>
      <c r="G1368" s="179"/>
      <c r="H1368" s="179">
        <f t="shared" si="130"/>
        <v>0</v>
      </c>
      <c r="I1368" s="179">
        <v>0</v>
      </c>
      <c r="J1368" s="179">
        <f t="shared" si="126"/>
        <v>0</v>
      </c>
      <c r="K1368" s="542"/>
      <c r="L1368" s="179">
        <f t="shared" si="127"/>
        <v>0</v>
      </c>
      <c r="M1368" s="542"/>
    </row>
    <row r="1369" spans="1:13" x14ac:dyDescent="0.2">
      <c r="C1369" s="100" t="s">
        <v>193</v>
      </c>
      <c r="D1369" s="170">
        <f>D1376+D1382+D1392+D1395</f>
        <v>2656308</v>
      </c>
      <c r="E1369" s="488">
        <f>E1376+E1382+E1392+E1395</f>
        <v>53499</v>
      </c>
      <c r="F1369" s="488">
        <f>F1376+F1382+F1392+F1395</f>
        <v>60243</v>
      </c>
      <c r="G1369" s="570">
        <f>G1376+G1382+G1392+G1395</f>
        <v>25669</v>
      </c>
      <c r="H1369" s="488">
        <f t="shared" si="130"/>
        <v>2795719</v>
      </c>
      <c r="I1369" s="488">
        <v>2844586</v>
      </c>
      <c r="J1369" s="488">
        <f t="shared" si="126"/>
        <v>188278</v>
      </c>
      <c r="K1369" s="865">
        <f t="shared" si="128"/>
        <v>7.087958173525058E-2</v>
      </c>
      <c r="L1369" s="488">
        <f t="shared" si="127"/>
        <v>48867</v>
      </c>
      <c r="M1369" s="865">
        <f t="shared" si="129"/>
        <v>1.7479224485722634E-2</v>
      </c>
    </row>
    <row r="1370" spans="1:13" x14ac:dyDescent="0.2">
      <c r="C1370" s="101" t="s">
        <v>479</v>
      </c>
      <c r="D1370" s="182">
        <v>60910</v>
      </c>
      <c r="E1370" s="491"/>
      <c r="F1370" s="491"/>
      <c r="G1370" s="571"/>
      <c r="H1370" s="491">
        <f t="shared" si="130"/>
        <v>60910</v>
      </c>
      <c r="I1370" s="491">
        <v>60910</v>
      </c>
      <c r="J1370" s="491">
        <f t="shared" si="126"/>
        <v>0</v>
      </c>
      <c r="K1370" s="866">
        <f t="shared" si="128"/>
        <v>0</v>
      </c>
      <c r="L1370" s="491">
        <f t="shared" si="127"/>
        <v>0</v>
      </c>
      <c r="M1370" s="866">
        <f t="shared" si="129"/>
        <v>0</v>
      </c>
    </row>
    <row r="1371" spans="1:13" x14ac:dyDescent="0.2">
      <c r="C1371" s="329" t="s">
        <v>116</v>
      </c>
      <c r="D1371" s="183">
        <f>SUM(D1372:D1373)</f>
        <v>2656308</v>
      </c>
      <c r="E1371" s="183">
        <f>SUM(E1372:E1373)</f>
        <v>53499</v>
      </c>
      <c r="F1371" s="183">
        <f>SUM(F1372:F1373)</f>
        <v>60243</v>
      </c>
      <c r="G1371" s="570">
        <f>SUM(G1372:G1373)</f>
        <v>25669</v>
      </c>
      <c r="H1371" s="183">
        <f t="shared" si="130"/>
        <v>2795719</v>
      </c>
      <c r="I1371" s="183">
        <v>2844586</v>
      </c>
      <c r="J1371" s="183">
        <f t="shared" si="126"/>
        <v>188278</v>
      </c>
      <c r="K1371" s="528">
        <f t="shared" si="128"/>
        <v>7.087958173525058E-2</v>
      </c>
      <c r="L1371" s="183">
        <f t="shared" si="127"/>
        <v>48867</v>
      </c>
      <c r="M1371" s="528">
        <f t="shared" si="129"/>
        <v>1.7479224485722634E-2</v>
      </c>
    </row>
    <row r="1372" spans="1:13" x14ac:dyDescent="0.2">
      <c r="C1372" s="102" t="s">
        <v>117</v>
      </c>
      <c r="D1372" s="182">
        <f>'2.2 OMATULUD'!B525</f>
        <v>329796</v>
      </c>
      <c r="E1372" s="491"/>
      <c r="F1372" s="491">
        <v>17475</v>
      </c>
      <c r="G1372" s="571">
        <v>10190</v>
      </c>
      <c r="H1372" s="491">
        <f t="shared" si="130"/>
        <v>357461</v>
      </c>
      <c r="I1372" s="491">
        <v>336203</v>
      </c>
      <c r="J1372" s="491">
        <f t="shared" si="126"/>
        <v>6407</v>
      </c>
      <c r="K1372" s="866">
        <f t="shared" si="128"/>
        <v>1.9427161032880932E-2</v>
      </c>
      <c r="L1372" s="491">
        <f t="shared" si="127"/>
        <v>-21258</v>
      </c>
      <c r="M1372" s="866">
        <f t="shared" si="129"/>
        <v>-5.9469424636533777E-2</v>
      </c>
    </row>
    <row r="1373" spans="1:13" s="6" customFormat="1" x14ac:dyDescent="0.2">
      <c r="A1373" s="503"/>
      <c r="B1373" s="503"/>
      <c r="C1373" s="95" t="s">
        <v>118</v>
      </c>
      <c r="D1373" s="182">
        <f>D1369-D1372</f>
        <v>2326512</v>
      </c>
      <c r="E1373" s="491">
        <f>E1369-E1372</f>
        <v>53499</v>
      </c>
      <c r="F1373" s="491">
        <f>F1369-F1372</f>
        <v>42768</v>
      </c>
      <c r="G1373" s="571">
        <f>G1369-G1372</f>
        <v>15479</v>
      </c>
      <c r="H1373" s="491">
        <f t="shared" si="130"/>
        <v>2438258</v>
      </c>
      <c r="I1373" s="491">
        <v>2508383</v>
      </c>
      <c r="J1373" s="491">
        <f t="shared" si="126"/>
        <v>181871</v>
      </c>
      <c r="K1373" s="866">
        <f t="shared" si="128"/>
        <v>7.8173248193003086E-2</v>
      </c>
      <c r="L1373" s="491">
        <f t="shared" si="127"/>
        <v>70125</v>
      </c>
      <c r="M1373" s="866">
        <f t="shared" si="129"/>
        <v>2.8760287057399175E-2</v>
      </c>
    </row>
    <row r="1374" spans="1:13" x14ac:dyDescent="0.2">
      <c r="A1374" s="459"/>
      <c r="B1374" s="459"/>
      <c r="C1374" s="473" t="s">
        <v>909</v>
      </c>
      <c r="D1374" s="474">
        <f>D1380+D1386+D1390+D1398+D1409</f>
        <v>1323622</v>
      </c>
      <c r="E1374" s="474">
        <f>E1380+E1386+E1390+E1398+E1409</f>
        <v>39984</v>
      </c>
      <c r="F1374" s="474">
        <f>F1380+F1386+F1390+F1398+F1409</f>
        <v>12223</v>
      </c>
      <c r="G1374" s="572">
        <f>G1380+G1386+G1390+G1398+G1409</f>
        <v>-7160</v>
      </c>
      <c r="H1374" s="474">
        <f t="shared" si="130"/>
        <v>1368669</v>
      </c>
      <c r="I1374" s="474">
        <v>1412504</v>
      </c>
      <c r="J1374" s="474">
        <f t="shared" si="126"/>
        <v>88882</v>
      </c>
      <c r="K1374" s="867">
        <f t="shared" si="128"/>
        <v>6.7150591331966381E-2</v>
      </c>
      <c r="L1374" s="474">
        <f t="shared" si="127"/>
        <v>43835</v>
      </c>
      <c r="M1374" s="867">
        <f t="shared" si="129"/>
        <v>3.2027466100276986E-2</v>
      </c>
    </row>
    <row r="1375" spans="1:13" x14ac:dyDescent="0.2">
      <c r="C1375" s="6"/>
      <c r="D1375" s="10"/>
      <c r="E1375" s="10"/>
      <c r="F1375" s="10">
        <v>0</v>
      </c>
      <c r="G1375" s="46">
        <v>0</v>
      </c>
      <c r="H1375" s="10">
        <f t="shared" si="130"/>
        <v>0</v>
      </c>
      <c r="I1375" s="10">
        <v>0</v>
      </c>
      <c r="J1375" s="10">
        <f t="shared" si="126"/>
        <v>0</v>
      </c>
      <c r="K1375" s="907"/>
      <c r="L1375" s="10">
        <f t="shared" si="127"/>
        <v>0</v>
      </c>
      <c r="M1375" s="907"/>
    </row>
    <row r="1376" spans="1:13" ht="15" x14ac:dyDescent="0.2">
      <c r="A1376" s="459" t="s">
        <v>865</v>
      </c>
      <c r="B1376" s="459" t="s">
        <v>277</v>
      </c>
      <c r="C1376" s="413" t="s">
        <v>200</v>
      </c>
      <c r="D1376" s="218">
        <f>D1377</f>
        <v>94830</v>
      </c>
      <c r="E1376" s="218"/>
      <c r="F1376" s="218">
        <f>F1377</f>
        <v>1200</v>
      </c>
      <c r="G1376" s="673">
        <f>G1377</f>
        <v>200</v>
      </c>
      <c r="H1376" s="218">
        <f t="shared" si="130"/>
        <v>96230</v>
      </c>
      <c r="I1376" s="218">
        <v>94830</v>
      </c>
      <c r="J1376" s="218">
        <f t="shared" si="126"/>
        <v>0</v>
      </c>
      <c r="K1376" s="959">
        <f t="shared" si="128"/>
        <v>0</v>
      </c>
      <c r="L1376" s="218">
        <f t="shared" si="127"/>
        <v>-1400</v>
      </c>
      <c r="M1376" s="959">
        <f t="shared" si="129"/>
        <v>-1.4548477605736257E-2</v>
      </c>
    </row>
    <row r="1377" spans="1:13" x14ac:dyDescent="0.2">
      <c r="A1377" s="459"/>
      <c r="B1377" s="459"/>
      <c r="C1377" s="414" t="s">
        <v>201</v>
      </c>
      <c r="D1377" s="219">
        <f>D1379</f>
        <v>94830</v>
      </c>
      <c r="E1377" s="219"/>
      <c r="F1377" s="219">
        <v>1200</v>
      </c>
      <c r="G1377" s="674">
        <f>G1379</f>
        <v>200</v>
      </c>
      <c r="H1377" s="219">
        <f t="shared" si="130"/>
        <v>96230</v>
      </c>
      <c r="I1377" s="219">
        <v>94830</v>
      </c>
      <c r="J1377" s="219">
        <f t="shared" si="126"/>
        <v>0</v>
      </c>
      <c r="K1377" s="923">
        <f t="shared" si="128"/>
        <v>0</v>
      </c>
      <c r="L1377" s="219">
        <f t="shared" si="127"/>
        <v>-1400</v>
      </c>
      <c r="M1377" s="923">
        <f t="shared" si="129"/>
        <v>-1.4548477605736257E-2</v>
      </c>
    </row>
    <row r="1378" spans="1:13" x14ac:dyDescent="0.2">
      <c r="A1378" s="459"/>
      <c r="B1378" s="459"/>
      <c r="C1378" s="415" t="s">
        <v>196</v>
      </c>
      <c r="D1378" s="219"/>
      <c r="E1378" s="219"/>
      <c r="F1378" s="219">
        <v>0</v>
      </c>
      <c r="G1378" s="674">
        <v>0</v>
      </c>
      <c r="H1378" s="219">
        <f t="shared" si="130"/>
        <v>0</v>
      </c>
      <c r="I1378" s="219">
        <v>0</v>
      </c>
      <c r="J1378" s="219">
        <f t="shared" si="126"/>
        <v>0</v>
      </c>
      <c r="K1378" s="923"/>
      <c r="L1378" s="219">
        <f t="shared" si="127"/>
        <v>0</v>
      </c>
      <c r="M1378" s="923"/>
    </row>
    <row r="1379" spans="1:13" x14ac:dyDescent="0.2">
      <c r="A1379" s="459"/>
      <c r="B1379" s="459"/>
      <c r="C1379" s="106" t="s">
        <v>732</v>
      </c>
      <c r="D1379" s="194">
        <v>94830</v>
      </c>
      <c r="E1379" s="194"/>
      <c r="F1379" s="194">
        <v>1200</v>
      </c>
      <c r="G1379" s="194">
        <v>200</v>
      </c>
      <c r="H1379" s="194">
        <f t="shared" si="130"/>
        <v>96230</v>
      </c>
      <c r="I1379" s="194">
        <v>94830</v>
      </c>
      <c r="J1379" s="194">
        <f t="shared" si="126"/>
        <v>0</v>
      </c>
      <c r="K1379" s="887">
        <f t="shared" si="128"/>
        <v>0</v>
      </c>
      <c r="L1379" s="194">
        <f t="shared" si="127"/>
        <v>-1400</v>
      </c>
      <c r="M1379" s="887">
        <f t="shared" si="129"/>
        <v>-1.4548477605736257E-2</v>
      </c>
    </row>
    <row r="1380" spans="1:13" x14ac:dyDescent="0.2">
      <c r="A1380" s="459"/>
      <c r="B1380" s="459"/>
      <c r="C1380" s="405" t="s">
        <v>119</v>
      </c>
      <c r="D1380" s="495">
        <v>55744</v>
      </c>
      <c r="E1380" s="196"/>
      <c r="F1380" s="495">
        <v>0</v>
      </c>
      <c r="G1380" s="568">
        <v>0</v>
      </c>
      <c r="H1380" s="495">
        <f t="shared" si="130"/>
        <v>55744</v>
      </c>
      <c r="I1380" s="495">
        <v>55744</v>
      </c>
      <c r="J1380" s="495">
        <f t="shared" si="126"/>
        <v>0</v>
      </c>
      <c r="K1380" s="888">
        <f t="shared" si="128"/>
        <v>0</v>
      </c>
      <c r="L1380" s="495">
        <f t="shared" si="127"/>
        <v>0</v>
      </c>
      <c r="M1380" s="888">
        <f t="shared" si="129"/>
        <v>0</v>
      </c>
    </row>
    <row r="1381" spans="1:13" x14ac:dyDescent="0.2">
      <c r="A1381" s="459"/>
      <c r="B1381" s="459"/>
      <c r="C1381" s="95"/>
      <c r="D1381" s="182"/>
      <c r="E1381" s="182"/>
      <c r="F1381" s="491">
        <v>0</v>
      </c>
      <c r="G1381" s="571">
        <v>0</v>
      </c>
      <c r="H1381" s="491">
        <f t="shared" si="130"/>
        <v>0</v>
      </c>
      <c r="I1381" s="491">
        <v>0</v>
      </c>
      <c r="J1381" s="491">
        <f t="shared" si="126"/>
        <v>0</v>
      </c>
      <c r="K1381" s="866"/>
      <c r="L1381" s="491">
        <f t="shared" si="127"/>
        <v>0</v>
      </c>
      <c r="M1381" s="866"/>
    </row>
    <row r="1382" spans="1:13" ht="15" x14ac:dyDescent="0.2">
      <c r="A1382" s="459" t="s">
        <v>866</v>
      </c>
      <c r="B1382" s="459" t="s">
        <v>277</v>
      </c>
      <c r="C1382" s="402" t="s">
        <v>203</v>
      </c>
      <c r="D1382" s="212">
        <f>D1383</f>
        <v>630562</v>
      </c>
      <c r="E1382" s="497">
        <v>27159</v>
      </c>
      <c r="F1382" s="497">
        <f>F1383</f>
        <v>19379</v>
      </c>
      <c r="G1382" s="669">
        <f>G1383</f>
        <v>5000</v>
      </c>
      <c r="H1382" s="497">
        <f t="shared" si="130"/>
        <v>682100</v>
      </c>
      <c r="I1382" s="497">
        <v>714046</v>
      </c>
      <c r="J1382" s="497">
        <f t="shared" si="126"/>
        <v>83484</v>
      </c>
      <c r="K1382" s="956">
        <f t="shared" si="128"/>
        <v>0.13239617991569425</v>
      </c>
      <c r="L1382" s="497">
        <f t="shared" si="127"/>
        <v>31946</v>
      </c>
      <c r="M1382" s="956">
        <f t="shared" si="129"/>
        <v>4.6834774959683328E-2</v>
      </c>
    </row>
    <row r="1383" spans="1:13" ht="25.5" x14ac:dyDescent="0.2">
      <c r="C1383" s="407" t="s">
        <v>271</v>
      </c>
      <c r="D1383" s="185">
        <f>D1385+D1389</f>
        <v>630562</v>
      </c>
      <c r="E1383" s="494">
        <v>27159</v>
      </c>
      <c r="F1383" s="494">
        <f>F1385+F1389</f>
        <v>19379</v>
      </c>
      <c r="G1383" s="652">
        <f>G1385+G1389</f>
        <v>5000</v>
      </c>
      <c r="H1383" s="494">
        <f t="shared" si="130"/>
        <v>682100</v>
      </c>
      <c r="I1383" s="494">
        <v>714046</v>
      </c>
      <c r="J1383" s="494">
        <f t="shared" si="126"/>
        <v>83484</v>
      </c>
      <c r="K1383" s="945">
        <f t="shared" si="128"/>
        <v>0.13239617991569425</v>
      </c>
      <c r="L1383" s="494">
        <f t="shared" si="127"/>
        <v>31946</v>
      </c>
      <c r="M1383" s="945">
        <f t="shared" si="129"/>
        <v>4.6834774959683328E-2</v>
      </c>
    </row>
    <row r="1384" spans="1:13" x14ac:dyDescent="0.2">
      <c r="C1384" s="408" t="s">
        <v>196</v>
      </c>
      <c r="D1384" s="170"/>
      <c r="E1384" s="488"/>
      <c r="F1384" s="488">
        <v>0</v>
      </c>
      <c r="G1384" s="570">
        <v>0</v>
      </c>
      <c r="H1384" s="488">
        <f t="shared" si="130"/>
        <v>0</v>
      </c>
      <c r="I1384" s="488">
        <v>0</v>
      </c>
      <c r="J1384" s="488">
        <f t="shared" si="126"/>
        <v>0</v>
      </c>
      <c r="K1384" s="865"/>
      <c r="L1384" s="488">
        <f t="shared" si="127"/>
        <v>0</v>
      </c>
      <c r="M1384" s="865"/>
    </row>
    <row r="1385" spans="1:13" x14ac:dyDescent="0.2">
      <c r="C1385" s="378" t="s">
        <v>733</v>
      </c>
      <c r="D1385" s="202">
        <v>271284</v>
      </c>
      <c r="E1385" s="493">
        <v>17878</v>
      </c>
      <c r="F1385" s="493">
        <v>13400</v>
      </c>
      <c r="G1385" s="601">
        <v>4000</v>
      </c>
      <c r="H1385" s="493">
        <f t="shared" si="130"/>
        <v>306562</v>
      </c>
      <c r="I1385" s="493">
        <v>332947</v>
      </c>
      <c r="J1385" s="493">
        <f t="shared" si="126"/>
        <v>61663</v>
      </c>
      <c r="K1385" s="868">
        <f t="shared" si="128"/>
        <v>0.22730054113032835</v>
      </c>
      <c r="L1385" s="493">
        <f t="shared" si="127"/>
        <v>26385</v>
      </c>
      <c r="M1385" s="868">
        <f t="shared" si="129"/>
        <v>8.6067418662456541E-2</v>
      </c>
    </row>
    <row r="1386" spans="1:13" s="56" customFormat="1" x14ac:dyDescent="0.2">
      <c r="A1386" s="503"/>
      <c r="B1386" s="503"/>
      <c r="C1386" s="103" t="s">
        <v>119</v>
      </c>
      <c r="D1386" s="489">
        <v>170475</v>
      </c>
      <c r="E1386" s="489">
        <v>13362</v>
      </c>
      <c r="F1386" s="489">
        <v>0</v>
      </c>
      <c r="G1386" s="567">
        <v>0</v>
      </c>
      <c r="H1386" s="489">
        <f t="shared" si="130"/>
        <v>183837</v>
      </c>
      <c r="I1386" s="489">
        <v>203607</v>
      </c>
      <c r="J1386" s="489">
        <f t="shared" si="126"/>
        <v>33132</v>
      </c>
      <c r="K1386" s="869">
        <f t="shared" si="128"/>
        <v>0.19435107787065553</v>
      </c>
      <c r="L1386" s="489">
        <f t="shared" si="127"/>
        <v>19770</v>
      </c>
      <c r="M1386" s="869">
        <f t="shared" si="129"/>
        <v>0.10754091940142627</v>
      </c>
    </row>
    <row r="1387" spans="1:13" x14ac:dyDescent="0.2">
      <c r="C1387" s="311"/>
      <c r="D1387" s="201"/>
      <c r="E1387" s="490"/>
      <c r="F1387" s="490">
        <v>0</v>
      </c>
      <c r="G1387" s="612">
        <v>0</v>
      </c>
      <c r="H1387" s="490">
        <f t="shared" si="130"/>
        <v>0</v>
      </c>
      <c r="I1387" s="490">
        <v>0</v>
      </c>
      <c r="J1387" s="490">
        <f t="shared" si="126"/>
        <v>0</v>
      </c>
      <c r="K1387" s="914"/>
      <c r="L1387" s="490">
        <f t="shared" si="127"/>
        <v>0</v>
      </c>
      <c r="M1387" s="914"/>
    </row>
    <row r="1388" spans="1:13" x14ac:dyDescent="0.2">
      <c r="C1388" s="408" t="s">
        <v>196</v>
      </c>
      <c r="D1388" s="170"/>
      <c r="E1388" s="488"/>
      <c r="F1388" s="488">
        <v>0</v>
      </c>
      <c r="G1388" s="570">
        <v>0</v>
      </c>
      <c r="H1388" s="488">
        <f t="shared" si="130"/>
        <v>0</v>
      </c>
      <c r="I1388" s="488">
        <v>0</v>
      </c>
      <c r="J1388" s="488">
        <f t="shared" si="126"/>
        <v>0</v>
      </c>
      <c r="K1388" s="865"/>
      <c r="L1388" s="488">
        <f t="shared" si="127"/>
        <v>0</v>
      </c>
      <c r="M1388" s="865"/>
    </row>
    <row r="1389" spans="1:13" x14ac:dyDescent="0.2">
      <c r="C1389" s="378" t="s">
        <v>734</v>
      </c>
      <c r="D1389" s="202">
        <v>359278</v>
      </c>
      <c r="E1389" s="493">
        <v>9281</v>
      </c>
      <c r="F1389" s="493">
        <v>5979</v>
      </c>
      <c r="G1389" s="601">
        <v>1000</v>
      </c>
      <c r="H1389" s="493">
        <f t="shared" si="130"/>
        <v>375538</v>
      </c>
      <c r="I1389" s="493">
        <v>381099</v>
      </c>
      <c r="J1389" s="493">
        <f t="shared" si="126"/>
        <v>21821</v>
      </c>
      <c r="K1389" s="868">
        <f t="shared" si="128"/>
        <v>6.0735697704841378E-2</v>
      </c>
      <c r="L1389" s="493">
        <f t="shared" si="127"/>
        <v>5561</v>
      </c>
      <c r="M1389" s="868">
        <f t="shared" si="129"/>
        <v>1.4808088662132728E-2</v>
      </c>
    </row>
    <row r="1390" spans="1:13" s="56" customFormat="1" x14ac:dyDescent="0.2">
      <c r="A1390" s="503"/>
      <c r="B1390" s="503"/>
      <c r="C1390" s="103" t="s">
        <v>119</v>
      </c>
      <c r="D1390" s="489">
        <v>255720</v>
      </c>
      <c r="E1390" s="489">
        <v>6936</v>
      </c>
      <c r="F1390" s="489">
        <v>2120</v>
      </c>
      <c r="G1390" s="567"/>
      <c r="H1390" s="489">
        <f t="shared" si="130"/>
        <v>264776</v>
      </c>
      <c r="I1390" s="489">
        <v>270720</v>
      </c>
      <c r="J1390" s="489">
        <f t="shared" si="126"/>
        <v>15000</v>
      </c>
      <c r="K1390" s="869">
        <f t="shared" si="128"/>
        <v>5.8657907085875177E-2</v>
      </c>
      <c r="L1390" s="489">
        <f t="shared" si="127"/>
        <v>5944</v>
      </c>
      <c r="M1390" s="869">
        <f t="shared" si="129"/>
        <v>2.2449164576849867E-2</v>
      </c>
    </row>
    <row r="1391" spans="1:13" x14ac:dyDescent="0.2">
      <c r="C1391" s="311"/>
      <c r="D1391" s="201"/>
      <c r="E1391" s="201"/>
      <c r="F1391" s="490">
        <v>0</v>
      </c>
      <c r="G1391" s="612">
        <v>0</v>
      </c>
      <c r="H1391" s="490">
        <f t="shared" si="130"/>
        <v>0</v>
      </c>
      <c r="I1391" s="490">
        <v>0</v>
      </c>
      <c r="J1391" s="490">
        <f t="shared" si="126"/>
        <v>0</v>
      </c>
      <c r="K1391" s="914"/>
      <c r="L1391" s="490">
        <f t="shared" si="127"/>
        <v>0</v>
      </c>
      <c r="M1391" s="914"/>
    </row>
    <row r="1392" spans="1:13" ht="15" x14ac:dyDescent="0.2">
      <c r="A1392" s="459" t="s">
        <v>870</v>
      </c>
      <c r="B1392" s="459" t="s">
        <v>277</v>
      </c>
      <c r="C1392" s="402" t="s">
        <v>267</v>
      </c>
      <c r="D1392" s="212">
        <f>D1393</f>
        <v>150000</v>
      </c>
      <c r="E1392" s="212"/>
      <c r="F1392" s="497">
        <f>F1393</f>
        <v>7052</v>
      </c>
      <c r="G1392" s="669">
        <f>G1393</f>
        <v>0</v>
      </c>
      <c r="H1392" s="497">
        <f t="shared" si="130"/>
        <v>157052</v>
      </c>
      <c r="I1392" s="497">
        <v>175252</v>
      </c>
      <c r="J1392" s="497">
        <f t="shared" si="126"/>
        <v>25252</v>
      </c>
      <c r="K1392" s="956">
        <f t="shared" si="128"/>
        <v>0.16834666666666667</v>
      </c>
      <c r="L1392" s="497">
        <f t="shared" si="127"/>
        <v>18200</v>
      </c>
      <c r="M1392" s="956">
        <f t="shared" si="129"/>
        <v>0.11588518452487075</v>
      </c>
    </row>
    <row r="1393" spans="1:13" s="56" customFormat="1" x14ac:dyDescent="0.2">
      <c r="A1393" s="503"/>
      <c r="B1393" s="503"/>
      <c r="C1393" s="292" t="s">
        <v>268</v>
      </c>
      <c r="D1393" s="118">
        <v>150000</v>
      </c>
      <c r="E1393" s="118"/>
      <c r="F1393" s="477">
        <v>7052</v>
      </c>
      <c r="G1393" s="566"/>
      <c r="H1393" s="477">
        <f t="shared" si="130"/>
        <v>157052</v>
      </c>
      <c r="I1393" s="477">
        <v>175252</v>
      </c>
      <c r="J1393" s="477">
        <f t="shared" si="126"/>
        <v>25252</v>
      </c>
      <c r="K1393" s="909">
        <f t="shared" si="128"/>
        <v>0.16834666666666667</v>
      </c>
      <c r="L1393" s="477">
        <f t="shared" si="127"/>
        <v>18200</v>
      </c>
      <c r="M1393" s="909">
        <f t="shared" si="129"/>
        <v>0.11588518452487075</v>
      </c>
    </row>
    <row r="1394" spans="1:13" x14ac:dyDescent="0.2">
      <c r="C1394" s="361"/>
      <c r="D1394" s="142"/>
      <c r="E1394" s="142"/>
      <c r="F1394" s="500">
        <v>0</v>
      </c>
      <c r="G1394" s="675">
        <v>0</v>
      </c>
      <c r="H1394" s="500">
        <f t="shared" si="130"/>
        <v>0</v>
      </c>
      <c r="I1394" s="500">
        <v>0</v>
      </c>
      <c r="J1394" s="500">
        <f t="shared" si="126"/>
        <v>0</v>
      </c>
      <c r="K1394" s="924"/>
      <c r="L1394" s="500">
        <f t="shared" si="127"/>
        <v>0</v>
      </c>
      <c r="M1394" s="924"/>
    </row>
    <row r="1395" spans="1:13" x14ac:dyDescent="0.2">
      <c r="C1395" s="117" t="s">
        <v>197</v>
      </c>
      <c r="D1395" s="200">
        <f>D1397+D1400+D1404+D1406+D1408+D1411+D1413+D1415+D1402</f>
        <v>1780916</v>
      </c>
      <c r="E1395" s="499">
        <f>E1397+E1400+E1404+E1406+E1408+E1411+E1413+E1415+E1402</f>
        <v>26340</v>
      </c>
      <c r="F1395" s="499">
        <f>F1397+F1400+F1404+F1406+F1408+F1411+F1413+F1415+F1402</f>
        <v>32612</v>
      </c>
      <c r="G1395" s="657">
        <f>G1397+G1400+G1404+G1406+G1408+G1411+G1413+G1415+G1402</f>
        <v>20469</v>
      </c>
      <c r="H1395" s="499">
        <f t="shared" si="130"/>
        <v>1860337</v>
      </c>
      <c r="I1395" s="499">
        <v>1860458</v>
      </c>
      <c r="J1395" s="499">
        <f t="shared" si="126"/>
        <v>79542</v>
      </c>
      <c r="K1395" s="948">
        <f t="shared" si="128"/>
        <v>4.466353269890326E-2</v>
      </c>
      <c r="L1395" s="499">
        <f t="shared" si="127"/>
        <v>121</v>
      </c>
      <c r="M1395" s="948">
        <f t="shared" si="129"/>
        <v>6.5041978953275665E-5</v>
      </c>
    </row>
    <row r="1396" spans="1:13" x14ac:dyDescent="0.2">
      <c r="C1396" s="117"/>
      <c r="D1396" s="200"/>
      <c r="E1396" s="200"/>
      <c r="F1396" s="499">
        <v>0</v>
      </c>
      <c r="G1396" s="657">
        <v>0</v>
      </c>
      <c r="H1396" s="499">
        <f t="shared" si="130"/>
        <v>0</v>
      </c>
      <c r="I1396" s="499">
        <v>0</v>
      </c>
      <c r="J1396" s="499">
        <f t="shared" si="126"/>
        <v>0</v>
      </c>
      <c r="K1396" s="948"/>
      <c r="L1396" s="499">
        <f t="shared" si="127"/>
        <v>0</v>
      </c>
      <c r="M1396" s="948"/>
    </row>
    <row r="1397" spans="1:13" x14ac:dyDescent="0.2">
      <c r="A1397" s="459" t="s">
        <v>862</v>
      </c>
      <c r="B1397" s="459" t="s">
        <v>277</v>
      </c>
      <c r="C1397" s="307" t="s">
        <v>272</v>
      </c>
      <c r="D1397" s="202">
        <v>1519395</v>
      </c>
      <c r="E1397" s="493">
        <v>26340</v>
      </c>
      <c r="F1397" s="493">
        <v>32792</v>
      </c>
      <c r="G1397" s="601">
        <v>3969</v>
      </c>
      <c r="H1397" s="601">
        <f t="shared" si="130"/>
        <v>1582496</v>
      </c>
      <c r="I1397" s="601">
        <v>1581937</v>
      </c>
      <c r="J1397" s="601">
        <f t="shared" si="126"/>
        <v>62542</v>
      </c>
      <c r="K1397" s="757">
        <f t="shared" si="128"/>
        <v>4.1162436364474017E-2</v>
      </c>
      <c r="L1397" s="601">
        <f t="shared" si="127"/>
        <v>-559</v>
      </c>
      <c r="M1397" s="757">
        <f t="shared" si="129"/>
        <v>-3.5323943946777747E-4</v>
      </c>
    </row>
    <row r="1398" spans="1:13" x14ac:dyDescent="0.2">
      <c r="A1398" s="459"/>
      <c r="B1398" s="459"/>
      <c r="C1398" s="308" t="s">
        <v>119</v>
      </c>
      <c r="D1398" s="489">
        <v>834675</v>
      </c>
      <c r="E1398" s="489">
        <v>19686</v>
      </c>
      <c r="F1398" s="489">
        <v>10103</v>
      </c>
      <c r="G1398" s="781">
        <v>-7160</v>
      </c>
      <c r="H1398" s="567">
        <f t="shared" si="130"/>
        <v>857304</v>
      </c>
      <c r="I1398" s="567">
        <v>875425</v>
      </c>
      <c r="J1398" s="567">
        <f t="shared" si="126"/>
        <v>40750</v>
      </c>
      <c r="K1398" s="878">
        <f t="shared" si="128"/>
        <v>4.8821397549944592E-2</v>
      </c>
      <c r="L1398" s="567">
        <f t="shared" si="127"/>
        <v>18121</v>
      </c>
      <c r="M1398" s="878">
        <f t="shared" si="129"/>
        <v>2.1137192874406279E-2</v>
      </c>
    </row>
    <row r="1399" spans="1:13" x14ac:dyDescent="0.2">
      <c r="A1399" s="459"/>
      <c r="B1399" s="459"/>
      <c r="C1399" s="393"/>
      <c r="D1399" s="182"/>
      <c r="E1399" s="182"/>
      <c r="F1399" s="491">
        <v>0</v>
      </c>
      <c r="G1399" s="571">
        <v>0</v>
      </c>
      <c r="H1399" s="571">
        <f t="shared" si="130"/>
        <v>0</v>
      </c>
      <c r="I1399" s="571">
        <v>0</v>
      </c>
      <c r="J1399" s="571">
        <f t="shared" si="126"/>
        <v>0</v>
      </c>
      <c r="K1399" s="529"/>
      <c r="L1399" s="571">
        <f t="shared" si="127"/>
        <v>0</v>
      </c>
      <c r="M1399" s="529"/>
    </row>
    <row r="1400" spans="1:13" x14ac:dyDescent="0.2">
      <c r="A1400" s="459" t="s">
        <v>864</v>
      </c>
      <c r="B1400" s="459" t="s">
        <v>277</v>
      </c>
      <c r="C1400" s="410" t="s">
        <v>510</v>
      </c>
      <c r="D1400" s="213">
        <f>95570+10060</f>
        <v>105630</v>
      </c>
      <c r="E1400" s="213"/>
      <c r="F1400" s="213">
        <v>0</v>
      </c>
      <c r="G1400" s="613">
        <v>7000</v>
      </c>
      <c r="H1400" s="613">
        <f t="shared" si="130"/>
        <v>112630</v>
      </c>
      <c r="I1400" s="613">
        <v>125630</v>
      </c>
      <c r="J1400" s="613">
        <f t="shared" ref="J1400:J1463" si="131">I1400-D1400</f>
        <v>20000</v>
      </c>
      <c r="K1400" s="825">
        <f t="shared" ref="K1400:K1462" si="132">J1400/D1400</f>
        <v>0.18934014957871817</v>
      </c>
      <c r="L1400" s="613">
        <f t="shared" ref="L1400:L1463" si="133">I1400-H1400</f>
        <v>13000</v>
      </c>
      <c r="M1400" s="825">
        <f t="shared" ref="M1400:M1462" si="134">L1400/H1400</f>
        <v>0.11542217881559087</v>
      </c>
    </row>
    <row r="1401" spans="1:13" x14ac:dyDescent="0.2">
      <c r="A1401" s="459"/>
      <c r="B1401" s="459"/>
      <c r="C1401" s="338"/>
      <c r="D1401" s="179"/>
      <c r="E1401" s="179"/>
      <c r="F1401" s="179">
        <v>0</v>
      </c>
      <c r="G1401" s="577">
        <v>0</v>
      </c>
      <c r="H1401" s="577">
        <f t="shared" si="130"/>
        <v>0</v>
      </c>
      <c r="I1401" s="577">
        <v>0</v>
      </c>
      <c r="J1401" s="577">
        <f t="shared" si="131"/>
        <v>0</v>
      </c>
      <c r="K1401" s="757"/>
      <c r="L1401" s="577">
        <f t="shared" si="133"/>
        <v>0</v>
      </c>
      <c r="M1401" s="757"/>
    </row>
    <row r="1402" spans="1:13" x14ac:dyDescent="0.2">
      <c r="A1402" s="459" t="s">
        <v>864</v>
      </c>
      <c r="B1402" s="459" t="s">
        <v>277</v>
      </c>
      <c r="C1402" s="338" t="s">
        <v>238</v>
      </c>
      <c r="D1402" s="179">
        <v>2000</v>
      </c>
      <c r="E1402" s="179"/>
      <c r="F1402" s="179">
        <v>0</v>
      </c>
      <c r="G1402" s="577">
        <v>0</v>
      </c>
      <c r="H1402" s="577">
        <f t="shared" si="130"/>
        <v>2000</v>
      </c>
      <c r="I1402" s="577">
        <v>2000</v>
      </c>
      <c r="J1402" s="577">
        <f t="shared" si="131"/>
        <v>0</v>
      </c>
      <c r="K1402" s="757">
        <f t="shared" si="132"/>
        <v>0</v>
      </c>
      <c r="L1402" s="577">
        <f t="shared" si="133"/>
        <v>0</v>
      </c>
      <c r="M1402" s="757">
        <f t="shared" si="134"/>
        <v>0</v>
      </c>
    </row>
    <row r="1403" spans="1:13" x14ac:dyDescent="0.2">
      <c r="A1403" s="459"/>
      <c r="B1403" s="459"/>
      <c r="C1403" s="338"/>
      <c r="D1403" s="179"/>
      <c r="E1403" s="179"/>
      <c r="F1403" s="179">
        <v>0</v>
      </c>
      <c r="G1403" s="577">
        <v>0</v>
      </c>
      <c r="H1403" s="577">
        <f t="shared" si="130"/>
        <v>0</v>
      </c>
      <c r="I1403" s="577">
        <v>0</v>
      </c>
      <c r="J1403" s="577">
        <f t="shared" si="131"/>
        <v>0</v>
      </c>
      <c r="K1403" s="757"/>
      <c r="L1403" s="577">
        <f t="shared" si="133"/>
        <v>0</v>
      </c>
      <c r="M1403" s="757"/>
    </row>
    <row r="1404" spans="1:13" x14ac:dyDescent="0.2">
      <c r="A1404" s="459" t="s">
        <v>866</v>
      </c>
      <c r="B1404" s="459" t="s">
        <v>277</v>
      </c>
      <c r="C1404" s="410" t="s">
        <v>273</v>
      </c>
      <c r="D1404" s="213">
        <v>33000</v>
      </c>
      <c r="E1404" s="213"/>
      <c r="F1404" s="213">
        <v>0</v>
      </c>
      <c r="G1404" s="613">
        <v>0</v>
      </c>
      <c r="H1404" s="613">
        <f t="shared" si="130"/>
        <v>33000</v>
      </c>
      <c r="I1404" s="613">
        <v>33000</v>
      </c>
      <c r="J1404" s="613">
        <f t="shared" si="131"/>
        <v>0</v>
      </c>
      <c r="K1404" s="825">
        <f t="shared" si="132"/>
        <v>0</v>
      </c>
      <c r="L1404" s="613">
        <f t="shared" si="133"/>
        <v>0</v>
      </c>
      <c r="M1404" s="825">
        <f t="shared" si="134"/>
        <v>0</v>
      </c>
    </row>
    <row r="1405" spans="1:13" x14ac:dyDescent="0.2">
      <c r="A1405" s="459"/>
      <c r="B1405" s="459"/>
      <c r="C1405" s="338"/>
      <c r="D1405" s="179"/>
      <c r="E1405" s="179"/>
      <c r="F1405" s="179">
        <v>0</v>
      </c>
      <c r="G1405" s="577">
        <v>0</v>
      </c>
      <c r="H1405" s="577">
        <f t="shared" si="130"/>
        <v>0</v>
      </c>
      <c r="I1405" s="577">
        <v>0</v>
      </c>
      <c r="J1405" s="577">
        <f t="shared" si="131"/>
        <v>0</v>
      </c>
      <c r="K1405" s="757"/>
      <c r="L1405" s="577">
        <f t="shared" si="133"/>
        <v>0</v>
      </c>
      <c r="M1405" s="757"/>
    </row>
    <row r="1406" spans="1:13" x14ac:dyDescent="0.2">
      <c r="A1406" s="459" t="s">
        <v>866</v>
      </c>
      <c r="B1406" s="459" t="s">
        <v>277</v>
      </c>
      <c r="C1406" s="338" t="s">
        <v>351</v>
      </c>
      <c r="D1406" s="179">
        <v>5800</v>
      </c>
      <c r="E1406" s="179"/>
      <c r="F1406" s="179">
        <v>0</v>
      </c>
      <c r="G1406" s="577">
        <v>0</v>
      </c>
      <c r="H1406" s="577">
        <f t="shared" ref="H1406:H1469" si="135">D1406+E1406+F1406+G1406</f>
        <v>5800</v>
      </c>
      <c r="I1406" s="577">
        <v>5800</v>
      </c>
      <c r="J1406" s="577">
        <f t="shared" si="131"/>
        <v>0</v>
      </c>
      <c r="K1406" s="757">
        <f t="shared" si="132"/>
        <v>0</v>
      </c>
      <c r="L1406" s="577">
        <f t="shared" si="133"/>
        <v>0</v>
      </c>
      <c r="M1406" s="757">
        <f t="shared" si="134"/>
        <v>0</v>
      </c>
    </row>
    <row r="1407" spans="1:13" x14ac:dyDescent="0.2">
      <c r="A1407" s="459"/>
      <c r="B1407" s="459"/>
      <c r="C1407" s="338"/>
      <c r="D1407" s="179"/>
      <c r="E1407" s="179"/>
      <c r="F1407" s="179">
        <v>0</v>
      </c>
      <c r="G1407" s="577">
        <v>0</v>
      </c>
      <c r="H1407" s="577">
        <f t="shared" si="135"/>
        <v>0</v>
      </c>
      <c r="I1407" s="577">
        <v>0</v>
      </c>
      <c r="J1407" s="577">
        <f t="shared" si="131"/>
        <v>0</v>
      </c>
      <c r="K1407" s="757"/>
      <c r="L1407" s="577">
        <f t="shared" si="133"/>
        <v>0</v>
      </c>
      <c r="M1407" s="757"/>
    </row>
    <row r="1408" spans="1:13" x14ac:dyDescent="0.2">
      <c r="A1408" s="459" t="s">
        <v>870</v>
      </c>
      <c r="B1408" s="459" t="s">
        <v>277</v>
      </c>
      <c r="C1408" s="315" t="s">
        <v>269</v>
      </c>
      <c r="D1408" s="197">
        <f>66390+2851</f>
        <v>69241</v>
      </c>
      <c r="E1408" s="197"/>
      <c r="F1408" s="496">
        <v>10820</v>
      </c>
      <c r="G1408" s="613">
        <v>11000</v>
      </c>
      <c r="H1408" s="613">
        <f t="shared" si="135"/>
        <v>91061</v>
      </c>
      <c r="I1408" s="613">
        <v>69241</v>
      </c>
      <c r="J1408" s="613">
        <f t="shared" si="131"/>
        <v>0</v>
      </c>
      <c r="K1408" s="825">
        <f t="shared" si="132"/>
        <v>0</v>
      </c>
      <c r="L1408" s="613">
        <f t="shared" si="133"/>
        <v>-21820</v>
      </c>
      <c r="M1408" s="825">
        <f t="shared" si="134"/>
        <v>-0.23961959565565941</v>
      </c>
    </row>
    <row r="1409" spans="1:13" x14ac:dyDescent="0.2">
      <c r="A1409" s="459"/>
      <c r="B1409" s="459"/>
      <c r="C1409" s="308" t="s">
        <v>119</v>
      </c>
      <c r="D1409" s="489">
        <v>7008</v>
      </c>
      <c r="E1409" s="145"/>
      <c r="F1409" s="489">
        <v>0</v>
      </c>
      <c r="G1409" s="567">
        <v>0</v>
      </c>
      <c r="H1409" s="567">
        <f t="shared" si="135"/>
        <v>7008</v>
      </c>
      <c r="I1409" s="567">
        <v>7008</v>
      </c>
      <c r="J1409" s="567">
        <f t="shared" si="131"/>
        <v>0</v>
      </c>
      <c r="K1409" s="878">
        <f t="shared" si="132"/>
        <v>0</v>
      </c>
      <c r="L1409" s="567">
        <f t="shared" si="133"/>
        <v>0</v>
      </c>
      <c r="M1409" s="878">
        <f t="shared" si="134"/>
        <v>0</v>
      </c>
    </row>
    <row r="1410" spans="1:13" x14ac:dyDescent="0.2">
      <c r="A1410" s="459"/>
      <c r="B1410" s="459"/>
      <c r="C1410" s="315"/>
      <c r="D1410" s="197"/>
      <c r="E1410" s="197"/>
      <c r="F1410" s="496">
        <v>0</v>
      </c>
      <c r="G1410" s="613">
        <v>0</v>
      </c>
      <c r="H1410" s="613">
        <f t="shared" si="135"/>
        <v>0</v>
      </c>
      <c r="I1410" s="613">
        <v>0</v>
      </c>
      <c r="J1410" s="613">
        <f t="shared" si="131"/>
        <v>0</v>
      </c>
      <c r="K1410" s="825"/>
      <c r="L1410" s="613">
        <f t="shared" si="133"/>
        <v>0</v>
      </c>
      <c r="M1410" s="825"/>
    </row>
    <row r="1411" spans="1:13" x14ac:dyDescent="0.2">
      <c r="A1411" s="459" t="s">
        <v>869</v>
      </c>
      <c r="B1411" s="459" t="s">
        <v>277</v>
      </c>
      <c r="C1411" s="104" t="s">
        <v>275</v>
      </c>
      <c r="D1411" s="172">
        <v>29850</v>
      </c>
      <c r="E1411" s="172"/>
      <c r="F1411" s="172">
        <v>0</v>
      </c>
      <c r="G1411" s="574">
        <v>0</v>
      </c>
      <c r="H1411" s="574">
        <f t="shared" si="135"/>
        <v>29850</v>
      </c>
      <c r="I1411" s="574">
        <v>29850</v>
      </c>
      <c r="J1411" s="574">
        <f t="shared" si="131"/>
        <v>0</v>
      </c>
      <c r="K1411" s="757">
        <f t="shared" si="132"/>
        <v>0</v>
      </c>
      <c r="L1411" s="574">
        <f t="shared" si="133"/>
        <v>0</v>
      </c>
      <c r="M1411" s="757">
        <f t="shared" si="134"/>
        <v>0</v>
      </c>
    </row>
    <row r="1412" spans="1:13" x14ac:dyDescent="0.2">
      <c r="A1412" s="459"/>
      <c r="B1412" s="459"/>
      <c r="C1412" s="320"/>
      <c r="D1412" s="146"/>
      <c r="E1412" s="146"/>
      <c r="F1412" s="498">
        <v>0</v>
      </c>
      <c r="G1412" s="577">
        <v>0</v>
      </c>
      <c r="H1412" s="577">
        <f t="shared" si="135"/>
        <v>0</v>
      </c>
      <c r="I1412" s="577">
        <v>0</v>
      </c>
      <c r="J1412" s="577">
        <f t="shared" si="131"/>
        <v>0</v>
      </c>
      <c r="K1412" s="757"/>
      <c r="L1412" s="577">
        <f t="shared" si="133"/>
        <v>0</v>
      </c>
      <c r="M1412" s="757"/>
    </row>
    <row r="1413" spans="1:13" x14ac:dyDescent="0.2">
      <c r="A1413" s="459" t="s">
        <v>869</v>
      </c>
      <c r="B1413" s="459" t="s">
        <v>277</v>
      </c>
      <c r="C1413" s="104" t="s">
        <v>252</v>
      </c>
      <c r="D1413" s="172">
        <v>6000</v>
      </c>
      <c r="E1413" s="172"/>
      <c r="F1413" s="172">
        <v>-3000</v>
      </c>
      <c r="G1413" s="574"/>
      <c r="H1413" s="574">
        <f t="shared" si="135"/>
        <v>3000</v>
      </c>
      <c r="I1413" s="574">
        <v>3000</v>
      </c>
      <c r="J1413" s="574">
        <f t="shared" si="131"/>
        <v>-3000</v>
      </c>
      <c r="K1413" s="757">
        <f t="shared" si="132"/>
        <v>-0.5</v>
      </c>
      <c r="L1413" s="574">
        <f t="shared" si="133"/>
        <v>0</v>
      </c>
      <c r="M1413" s="757">
        <f t="shared" si="134"/>
        <v>0</v>
      </c>
    </row>
    <row r="1414" spans="1:13" x14ac:dyDescent="0.2">
      <c r="C1414" s="299"/>
      <c r="D1414" s="196"/>
      <c r="E1414" s="196"/>
      <c r="F1414" s="495">
        <v>0</v>
      </c>
      <c r="G1414" s="568">
        <v>0</v>
      </c>
      <c r="H1414" s="568">
        <f t="shared" si="135"/>
        <v>0</v>
      </c>
      <c r="I1414" s="568">
        <v>0</v>
      </c>
      <c r="J1414" s="568">
        <f t="shared" si="131"/>
        <v>0</v>
      </c>
      <c r="K1414" s="882"/>
      <c r="L1414" s="568">
        <f t="shared" si="133"/>
        <v>0</v>
      </c>
      <c r="M1414" s="882"/>
    </row>
    <row r="1415" spans="1:13" x14ac:dyDescent="0.2">
      <c r="A1415" s="459" t="s">
        <v>883</v>
      </c>
      <c r="B1415" s="459" t="s">
        <v>277</v>
      </c>
      <c r="C1415" s="104" t="s">
        <v>276</v>
      </c>
      <c r="D1415" s="172">
        <v>10000</v>
      </c>
      <c r="E1415" s="172"/>
      <c r="F1415" s="172">
        <v>-8000</v>
      </c>
      <c r="G1415" s="574">
        <v>-1500</v>
      </c>
      <c r="H1415" s="574">
        <f t="shared" si="135"/>
        <v>500</v>
      </c>
      <c r="I1415" s="574">
        <v>10000</v>
      </c>
      <c r="J1415" s="574">
        <f t="shared" si="131"/>
        <v>0</v>
      </c>
      <c r="K1415" s="757">
        <f t="shared" si="132"/>
        <v>0</v>
      </c>
      <c r="L1415" s="574">
        <f t="shared" si="133"/>
        <v>9500</v>
      </c>
      <c r="M1415" s="757">
        <f t="shared" si="134"/>
        <v>19</v>
      </c>
    </row>
    <row r="1416" spans="1:13" x14ac:dyDescent="0.2">
      <c r="C1416" s="104"/>
      <c r="D1416" s="172"/>
      <c r="E1416" s="172"/>
      <c r="F1416" s="172">
        <v>0</v>
      </c>
      <c r="G1416" s="574"/>
      <c r="H1416" s="172">
        <f t="shared" si="135"/>
        <v>0</v>
      </c>
      <c r="I1416" s="172">
        <v>0</v>
      </c>
      <c r="J1416" s="172">
        <f t="shared" si="131"/>
        <v>0</v>
      </c>
      <c r="K1416" s="524"/>
      <c r="L1416" s="172">
        <f t="shared" si="133"/>
        <v>0</v>
      </c>
      <c r="M1416" s="524"/>
    </row>
    <row r="1417" spans="1:13" x14ac:dyDescent="0.2">
      <c r="C1417" s="416"/>
      <c r="D1417" s="202"/>
      <c r="E1417" s="202"/>
      <c r="F1417" s="493">
        <v>0</v>
      </c>
      <c r="G1417" s="601"/>
      <c r="H1417" s="493">
        <f t="shared" si="135"/>
        <v>0</v>
      </c>
      <c r="I1417" s="493">
        <v>0</v>
      </c>
      <c r="J1417" s="493">
        <f t="shared" si="131"/>
        <v>0</v>
      </c>
      <c r="K1417" s="868"/>
      <c r="L1417" s="493">
        <f t="shared" si="133"/>
        <v>0</v>
      </c>
      <c r="M1417" s="868"/>
    </row>
    <row r="1418" spans="1:13" ht="15.75" x14ac:dyDescent="0.2">
      <c r="C1418" s="289" t="s">
        <v>278</v>
      </c>
      <c r="D1418" s="176"/>
      <c r="E1418" s="176"/>
      <c r="F1418" s="176">
        <v>0</v>
      </c>
      <c r="G1418" s="768"/>
      <c r="H1418" s="176">
        <f t="shared" si="135"/>
        <v>0</v>
      </c>
      <c r="I1418" s="176">
        <v>0</v>
      </c>
      <c r="J1418" s="176">
        <f t="shared" si="131"/>
        <v>0</v>
      </c>
      <c r="K1418" s="906"/>
      <c r="L1418" s="176">
        <f t="shared" si="133"/>
        <v>0</v>
      </c>
      <c r="M1418" s="906"/>
    </row>
    <row r="1419" spans="1:13" x14ac:dyDescent="0.2">
      <c r="C1419" s="108"/>
      <c r="D1419" s="179"/>
      <c r="E1419" s="179"/>
      <c r="F1419" s="503"/>
      <c r="G1419" s="503"/>
      <c r="H1419" s="179">
        <f t="shared" si="135"/>
        <v>0</v>
      </c>
      <c r="I1419" s="179">
        <v>0</v>
      </c>
      <c r="J1419" s="179">
        <f t="shared" si="131"/>
        <v>0</v>
      </c>
      <c r="K1419" s="542"/>
      <c r="L1419" s="179">
        <f t="shared" si="133"/>
        <v>0</v>
      </c>
      <c r="M1419" s="542"/>
    </row>
    <row r="1420" spans="1:13" x14ac:dyDescent="0.2">
      <c r="C1420" s="100" t="s">
        <v>193</v>
      </c>
      <c r="D1420" s="170">
        <f>D1428+D1432+D1438+D1444+D1460+D1464</f>
        <v>6435141</v>
      </c>
      <c r="E1420" s="488">
        <f>E1428+E1432+E1438+E1444+E1460+E1464</f>
        <v>114924</v>
      </c>
      <c r="F1420" s="488">
        <f>F1428+F1432+F1438+F1444+F1460+F1464</f>
        <v>115088</v>
      </c>
      <c r="G1420" s="570">
        <f>G1428+G1432+G1438+G1444+G1460+G1464</f>
        <v>91306</v>
      </c>
      <c r="H1420" s="488">
        <f t="shared" si="135"/>
        <v>6756459</v>
      </c>
      <c r="I1420" s="488">
        <v>6757048</v>
      </c>
      <c r="J1420" s="488">
        <f t="shared" si="131"/>
        <v>321907</v>
      </c>
      <c r="K1420" s="865">
        <f t="shared" si="132"/>
        <v>5.0023301742727934E-2</v>
      </c>
      <c r="L1420" s="488">
        <f t="shared" si="133"/>
        <v>589</v>
      </c>
      <c r="M1420" s="865">
        <f t="shared" si="134"/>
        <v>8.7175841664990488E-5</v>
      </c>
    </row>
    <row r="1421" spans="1:13" x14ac:dyDescent="0.2">
      <c r="C1421" s="101" t="s">
        <v>479</v>
      </c>
      <c r="D1421" s="182">
        <v>678500</v>
      </c>
      <c r="E1421" s="491"/>
      <c r="F1421" s="491"/>
      <c r="G1421" s="571"/>
      <c r="H1421" s="491">
        <f t="shared" si="135"/>
        <v>678500</v>
      </c>
      <c r="I1421" s="491">
        <v>604020</v>
      </c>
      <c r="J1421" s="491">
        <f t="shared" si="131"/>
        <v>-74480</v>
      </c>
      <c r="K1421" s="866">
        <f t="shared" si="132"/>
        <v>-0.10977155490051585</v>
      </c>
      <c r="L1421" s="491">
        <f t="shared" si="133"/>
        <v>-74480</v>
      </c>
      <c r="M1421" s="866">
        <f t="shared" si="134"/>
        <v>-0.10977155490051585</v>
      </c>
    </row>
    <row r="1422" spans="1:13" x14ac:dyDescent="0.2">
      <c r="C1422" s="107" t="s">
        <v>116</v>
      </c>
      <c r="D1422" s="183">
        <f>D1423+D1425</f>
        <v>6435141</v>
      </c>
      <c r="E1422" s="183">
        <f>E1423+E1425</f>
        <v>114924</v>
      </c>
      <c r="F1422" s="183">
        <f>F1423+F1425</f>
        <v>115088</v>
      </c>
      <c r="G1422" s="570">
        <f>G1423+G1425+G1424</f>
        <v>91306</v>
      </c>
      <c r="H1422" s="183">
        <f t="shared" si="135"/>
        <v>6756459</v>
      </c>
      <c r="I1422" s="183">
        <v>6757048</v>
      </c>
      <c r="J1422" s="183">
        <f t="shared" si="131"/>
        <v>321907</v>
      </c>
      <c r="K1422" s="528">
        <f t="shared" si="132"/>
        <v>5.0023301742727934E-2</v>
      </c>
      <c r="L1422" s="183">
        <f t="shared" si="133"/>
        <v>589</v>
      </c>
      <c r="M1422" s="528">
        <f t="shared" si="134"/>
        <v>8.7175841664990488E-5</v>
      </c>
    </row>
    <row r="1423" spans="1:13" s="486" customFormat="1" x14ac:dyDescent="0.2">
      <c r="A1423" s="503"/>
      <c r="B1423" s="503"/>
      <c r="C1423" s="102" t="s">
        <v>117</v>
      </c>
      <c r="D1423" s="182">
        <f>'2.2 OMATULUD'!B551</f>
        <v>986945</v>
      </c>
      <c r="E1423" s="491"/>
      <c r="F1423" s="491">
        <v>-5185</v>
      </c>
      <c r="G1423" s="571">
        <v>31245</v>
      </c>
      <c r="H1423" s="491">
        <f t="shared" si="135"/>
        <v>1013005</v>
      </c>
      <c r="I1423" s="491">
        <v>997575</v>
      </c>
      <c r="J1423" s="491">
        <f t="shared" si="131"/>
        <v>10630</v>
      </c>
      <c r="K1423" s="866">
        <f t="shared" si="132"/>
        <v>1.0770610317697542E-2</v>
      </c>
      <c r="L1423" s="491">
        <f t="shared" si="133"/>
        <v>-15430</v>
      </c>
      <c r="M1423" s="866">
        <f t="shared" si="134"/>
        <v>-1.5231909023153883E-2</v>
      </c>
    </row>
    <row r="1424" spans="1:13" x14ac:dyDescent="0.2">
      <c r="C1424" s="761" t="s">
        <v>0</v>
      </c>
      <c r="D1424" s="491"/>
      <c r="E1424" s="491"/>
      <c r="F1424" s="491"/>
      <c r="G1424" s="571">
        <v>15290</v>
      </c>
      <c r="H1424" s="491">
        <f t="shared" si="135"/>
        <v>15290</v>
      </c>
      <c r="I1424" s="491">
        <v>0</v>
      </c>
      <c r="J1424" s="491">
        <f t="shared" si="131"/>
        <v>0</v>
      </c>
      <c r="K1424" s="866"/>
      <c r="L1424" s="491">
        <f t="shared" si="133"/>
        <v>-15290</v>
      </c>
      <c r="M1424" s="866">
        <f t="shared" si="134"/>
        <v>-1</v>
      </c>
    </row>
    <row r="1425" spans="1:13" s="6" customFormat="1" x14ac:dyDescent="0.2">
      <c r="A1425" s="503"/>
      <c r="B1425" s="503"/>
      <c r="C1425" s="95" t="s">
        <v>118</v>
      </c>
      <c r="D1425" s="182">
        <f>D1420-D1423</f>
        <v>5448196</v>
      </c>
      <c r="E1425" s="491">
        <f>E1420-E1423</f>
        <v>114924</v>
      </c>
      <c r="F1425" s="491">
        <f>F1420-F1423</f>
        <v>120273</v>
      </c>
      <c r="G1425" s="571">
        <f>G1420-G1423-G1424</f>
        <v>44771</v>
      </c>
      <c r="H1425" s="491">
        <f t="shared" si="135"/>
        <v>5728164</v>
      </c>
      <c r="I1425" s="491">
        <v>5759473</v>
      </c>
      <c r="J1425" s="491">
        <f t="shared" si="131"/>
        <v>311277</v>
      </c>
      <c r="K1425" s="866">
        <f t="shared" si="132"/>
        <v>5.713395773573491E-2</v>
      </c>
      <c r="L1425" s="491">
        <f t="shared" si="133"/>
        <v>31309</v>
      </c>
      <c r="M1425" s="866">
        <f t="shared" si="134"/>
        <v>5.4658002110274774E-3</v>
      </c>
    </row>
    <row r="1426" spans="1:13" x14ac:dyDescent="0.2">
      <c r="A1426" s="459"/>
      <c r="B1426" s="459"/>
      <c r="C1426" s="473" t="s">
        <v>909</v>
      </c>
      <c r="D1426" s="474">
        <f>D1430+D1436+D1442+D1449+D1454+D1458+D1462+D1467+D1471+D1485</f>
        <v>3251983</v>
      </c>
      <c r="E1426" s="474">
        <f>E1430+E1436+E1442+E1449+E1454+E1458+E1462+E1467+E1471+E1485</f>
        <v>85892</v>
      </c>
      <c r="F1426" s="474">
        <f>F1430+F1436+F1442+F1449+F1454+F1458+F1462+F1467+F1471+F1485</f>
        <v>23747</v>
      </c>
      <c r="G1426" s="572">
        <f>G1430+G1436+G1442+G1449+G1454+G1458+G1462+G1467+G1471+G1485</f>
        <v>-3937</v>
      </c>
      <c r="H1426" s="474">
        <f t="shared" si="135"/>
        <v>3357685</v>
      </c>
      <c r="I1426" s="474">
        <v>3393506</v>
      </c>
      <c r="J1426" s="474">
        <f t="shared" si="131"/>
        <v>141523</v>
      </c>
      <c r="K1426" s="867">
        <f t="shared" si="132"/>
        <v>4.3518985185346908E-2</v>
      </c>
      <c r="L1426" s="474">
        <f t="shared" si="133"/>
        <v>35821</v>
      </c>
      <c r="M1426" s="867">
        <f t="shared" si="134"/>
        <v>1.0668362279368076E-2</v>
      </c>
    </row>
    <row r="1427" spans="1:13" x14ac:dyDescent="0.2">
      <c r="C1427" s="95"/>
      <c r="D1427" s="182"/>
      <c r="E1427" s="182"/>
      <c r="F1427" s="491">
        <v>0</v>
      </c>
      <c r="G1427" s="571">
        <v>0</v>
      </c>
      <c r="H1427" s="491">
        <f t="shared" si="135"/>
        <v>0</v>
      </c>
      <c r="I1427" s="491">
        <v>0</v>
      </c>
      <c r="J1427" s="491">
        <f t="shared" si="131"/>
        <v>0</v>
      </c>
      <c r="K1427" s="866"/>
      <c r="L1427" s="491">
        <f t="shared" si="133"/>
        <v>0</v>
      </c>
      <c r="M1427" s="866"/>
    </row>
    <row r="1428" spans="1:13" ht="15" x14ac:dyDescent="0.2">
      <c r="A1428" s="459" t="s">
        <v>864</v>
      </c>
      <c r="B1428" s="459" t="s">
        <v>278</v>
      </c>
      <c r="C1428" s="402" t="s">
        <v>198</v>
      </c>
      <c r="D1428" s="212">
        <f>D1429</f>
        <v>448664</v>
      </c>
      <c r="E1428" s="212"/>
      <c r="F1428" s="497">
        <f>F1429</f>
        <v>-5000</v>
      </c>
      <c r="G1428" s="669">
        <f>G1429</f>
        <v>-5000</v>
      </c>
      <c r="H1428" s="497">
        <f t="shared" si="135"/>
        <v>438664</v>
      </c>
      <c r="I1428" s="497">
        <v>461164</v>
      </c>
      <c r="J1428" s="497">
        <f t="shared" si="131"/>
        <v>12500</v>
      </c>
      <c r="K1428" s="956">
        <f t="shared" si="132"/>
        <v>2.7860492484353547E-2</v>
      </c>
      <c r="L1428" s="497">
        <f t="shared" si="133"/>
        <v>22500</v>
      </c>
      <c r="M1428" s="956">
        <f t="shared" si="134"/>
        <v>5.1292105119180059E-2</v>
      </c>
    </row>
    <row r="1429" spans="1:13" x14ac:dyDescent="0.2">
      <c r="A1429" s="459"/>
      <c r="B1429" s="459"/>
      <c r="C1429" s="292" t="s">
        <v>735</v>
      </c>
      <c r="D1429" s="118">
        <v>448664</v>
      </c>
      <c r="E1429" s="118"/>
      <c r="F1429" s="477">
        <v>-5000</v>
      </c>
      <c r="G1429" s="566">
        <v>-5000</v>
      </c>
      <c r="H1429" s="477">
        <f t="shared" si="135"/>
        <v>438664</v>
      </c>
      <c r="I1429" s="477">
        <v>461164</v>
      </c>
      <c r="J1429" s="477">
        <f t="shared" si="131"/>
        <v>12500</v>
      </c>
      <c r="K1429" s="909">
        <f t="shared" si="132"/>
        <v>2.7860492484353547E-2</v>
      </c>
      <c r="L1429" s="477">
        <f t="shared" si="133"/>
        <v>22500</v>
      </c>
      <c r="M1429" s="909">
        <f t="shared" si="134"/>
        <v>5.1292105119180059E-2</v>
      </c>
    </row>
    <row r="1430" spans="1:13" s="56" customFormat="1" x14ac:dyDescent="0.2">
      <c r="A1430" s="459"/>
      <c r="B1430" s="459"/>
      <c r="C1430" s="98" t="s">
        <v>119</v>
      </c>
      <c r="D1430" s="489">
        <v>241904</v>
      </c>
      <c r="E1430" s="145"/>
      <c r="F1430" s="489">
        <v>0</v>
      </c>
      <c r="G1430" s="567">
        <v>0</v>
      </c>
      <c r="H1430" s="489">
        <f t="shared" si="135"/>
        <v>241904</v>
      </c>
      <c r="I1430" s="489">
        <v>241904</v>
      </c>
      <c r="J1430" s="489">
        <f t="shared" si="131"/>
        <v>0</v>
      </c>
      <c r="K1430" s="869">
        <f t="shared" si="132"/>
        <v>0</v>
      </c>
      <c r="L1430" s="489">
        <f t="shared" si="133"/>
        <v>0</v>
      </c>
      <c r="M1430" s="869">
        <f t="shared" si="134"/>
        <v>0</v>
      </c>
    </row>
    <row r="1431" spans="1:13" x14ac:dyDescent="0.2">
      <c r="A1431" s="459"/>
      <c r="B1431" s="459"/>
      <c r="C1431" s="98"/>
      <c r="D1431" s="145"/>
      <c r="E1431" s="145"/>
      <c r="F1431" s="489">
        <v>0</v>
      </c>
      <c r="G1431" s="567">
        <v>0</v>
      </c>
      <c r="H1431" s="489">
        <f t="shared" si="135"/>
        <v>0</v>
      </c>
      <c r="I1431" s="489">
        <v>0</v>
      </c>
      <c r="J1431" s="489">
        <f t="shared" si="131"/>
        <v>0</v>
      </c>
      <c r="K1431" s="869"/>
      <c r="L1431" s="489">
        <f t="shared" si="133"/>
        <v>0</v>
      </c>
      <c r="M1431" s="869"/>
    </row>
    <row r="1432" spans="1:13" ht="15" x14ac:dyDescent="0.2">
      <c r="A1432" s="459" t="s">
        <v>865</v>
      </c>
      <c r="B1432" s="459" t="s">
        <v>278</v>
      </c>
      <c r="C1432" s="417" t="s">
        <v>200</v>
      </c>
      <c r="D1432" s="220">
        <f>D1433</f>
        <v>121400</v>
      </c>
      <c r="E1432" s="220"/>
      <c r="F1432" s="220">
        <v>0</v>
      </c>
      <c r="G1432" s="654">
        <f>G1433</f>
        <v>-600</v>
      </c>
      <c r="H1432" s="220">
        <f t="shared" si="135"/>
        <v>120800</v>
      </c>
      <c r="I1432" s="220">
        <v>120400</v>
      </c>
      <c r="J1432" s="220">
        <f t="shared" si="131"/>
        <v>-1000</v>
      </c>
      <c r="K1432" s="959">
        <f t="shared" si="132"/>
        <v>-8.2372322899505763E-3</v>
      </c>
      <c r="L1432" s="220">
        <f t="shared" si="133"/>
        <v>-400</v>
      </c>
      <c r="M1432" s="959">
        <f t="shared" si="134"/>
        <v>-3.3112582781456954E-3</v>
      </c>
    </row>
    <row r="1433" spans="1:13" x14ac:dyDescent="0.2">
      <c r="C1433" s="301" t="s">
        <v>201</v>
      </c>
      <c r="D1433" s="193">
        <f>D1435</f>
        <v>121400</v>
      </c>
      <c r="E1433" s="193"/>
      <c r="F1433" s="481">
        <v>0</v>
      </c>
      <c r="G1433" s="655">
        <f>G1435</f>
        <v>-600</v>
      </c>
      <c r="H1433" s="481">
        <f t="shared" si="135"/>
        <v>120800</v>
      </c>
      <c r="I1433" s="481">
        <v>120400</v>
      </c>
      <c r="J1433" s="481">
        <f t="shared" si="131"/>
        <v>-1000</v>
      </c>
      <c r="K1433" s="923">
        <f t="shared" si="132"/>
        <v>-8.2372322899505763E-3</v>
      </c>
      <c r="L1433" s="481">
        <f t="shared" si="133"/>
        <v>-400</v>
      </c>
      <c r="M1433" s="923">
        <f t="shared" si="134"/>
        <v>-3.3112582781456954E-3</v>
      </c>
    </row>
    <row r="1434" spans="1:13" x14ac:dyDescent="0.2">
      <c r="C1434" s="404" t="s">
        <v>196</v>
      </c>
      <c r="D1434" s="193"/>
      <c r="E1434" s="193"/>
      <c r="F1434" s="481">
        <v>0</v>
      </c>
      <c r="G1434" s="655">
        <v>0</v>
      </c>
      <c r="H1434" s="481">
        <f t="shared" si="135"/>
        <v>0</v>
      </c>
      <c r="I1434" s="481">
        <v>0</v>
      </c>
      <c r="J1434" s="481">
        <f t="shared" si="131"/>
        <v>0</v>
      </c>
      <c r="K1434" s="923"/>
      <c r="L1434" s="481">
        <f t="shared" si="133"/>
        <v>0</v>
      </c>
      <c r="M1434" s="923"/>
    </row>
    <row r="1435" spans="1:13" x14ac:dyDescent="0.2">
      <c r="C1435" s="106" t="s">
        <v>736</v>
      </c>
      <c r="D1435" s="194">
        <v>121400</v>
      </c>
      <c r="E1435" s="194"/>
      <c r="F1435" s="194">
        <v>0</v>
      </c>
      <c r="G1435" s="194">
        <v>-600</v>
      </c>
      <c r="H1435" s="194">
        <f t="shared" si="135"/>
        <v>120800</v>
      </c>
      <c r="I1435" s="194">
        <v>120400</v>
      </c>
      <c r="J1435" s="194">
        <f t="shared" si="131"/>
        <v>-1000</v>
      </c>
      <c r="K1435" s="887">
        <f t="shared" si="132"/>
        <v>-8.2372322899505763E-3</v>
      </c>
      <c r="L1435" s="194">
        <f t="shared" si="133"/>
        <v>-400</v>
      </c>
      <c r="M1435" s="887">
        <f t="shared" si="134"/>
        <v>-3.3112582781456954E-3</v>
      </c>
    </row>
    <row r="1436" spans="1:13" s="56" customFormat="1" x14ac:dyDescent="0.2">
      <c r="A1436" s="503"/>
      <c r="B1436" s="503"/>
      <c r="C1436" s="405" t="s">
        <v>119</v>
      </c>
      <c r="D1436" s="495">
        <v>82610</v>
      </c>
      <c r="E1436" s="196"/>
      <c r="F1436" s="495">
        <v>0</v>
      </c>
      <c r="G1436" s="568">
        <v>0</v>
      </c>
      <c r="H1436" s="495">
        <f t="shared" si="135"/>
        <v>82610</v>
      </c>
      <c r="I1436" s="495">
        <v>82610</v>
      </c>
      <c r="J1436" s="495">
        <f t="shared" si="131"/>
        <v>0</v>
      </c>
      <c r="K1436" s="888">
        <f t="shared" si="132"/>
        <v>0</v>
      </c>
      <c r="L1436" s="495">
        <f t="shared" si="133"/>
        <v>0</v>
      </c>
      <c r="M1436" s="888">
        <f t="shared" si="134"/>
        <v>0</v>
      </c>
    </row>
    <row r="1437" spans="1:13" x14ac:dyDescent="0.2">
      <c r="C1437" s="405"/>
      <c r="D1437" s="196"/>
      <c r="E1437" s="196"/>
      <c r="F1437" s="495">
        <v>0</v>
      </c>
      <c r="G1437" s="568">
        <v>0</v>
      </c>
      <c r="H1437" s="495">
        <f t="shared" si="135"/>
        <v>0</v>
      </c>
      <c r="I1437" s="495">
        <v>0</v>
      </c>
      <c r="J1437" s="495">
        <f t="shared" si="131"/>
        <v>0</v>
      </c>
      <c r="K1437" s="888"/>
      <c r="L1437" s="495">
        <f t="shared" si="133"/>
        <v>0</v>
      </c>
      <c r="M1437" s="888"/>
    </row>
    <row r="1438" spans="1:13" ht="15" x14ac:dyDescent="0.2">
      <c r="A1438" s="459" t="s">
        <v>850</v>
      </c>
      <c r="B1438" s="459" t="s">
        <v>278</v>
      </c>
      <c r="C1438" s="291" t="s">
        <v>766</v>
      </c>
      <c r="D1438" s="192">
        <f>D1439</f>
        <v>221500</v>
      </c>
      <c r="E1438" s="192"/>
      <c r="F1438" s="478">
        <v>0</v>
      </c>
      <c r="G1438" s="569">
        <v>0</v>
      </c>
      <c r="H1438" s="478">
        <f t="shared" si="135"/>
        <v>221500</v>
      </c>
      <c r="I1438" s="478">
        <v>224500</v>
      </c>
      <c r="J1438" s="478">
        <f t="shared" si="131"/>
        <v>3000</v>
      </c>
      <c r="K1438" s="908">
        <f t="shared" si="132"/>
        <v>1.3544018058690745E-2</v>
      </c>
      <c r="L1438" s="478">
        <f t="shared" si="133"/>
        <v>3000</v>
      </c>
      <c r="M1438" s="908">
        <f t="shared" si="134"/>
        <v>1.3544018058690745E-2</v>
      </c>
    </row>
    <row r="1439" spans="1:13" x14ac:dyDescent="0.2">
      <c r="A1439" s="459"/>
      <c r="B1439" s="459"/>
      <c r="C1439" s="292" t="s">
        <v>199</v>
      </c>
      <c r="D1439" s="118">
        <f>D1441</f>
        <v>221500</v>
      </c>
      <c r="E1439" s="118"/>
      <c r="F1439" s="477">
        <v>0</v>
      </c>
      <c r="G1439" s="566">
        <v>0</v>
      </c>
      <c r="H1439" s="477">
        <f t="shared" si="135"/>
        <v>221500</v>
      </c>
      <c r="I1439" s="477">
        <v>224500</v>
      </c>
      <c r="J1439" s="477">
        <f t="shared" si="131"/>
        <v>3000</v>
      </c>
      <c r="K1439" s="909">
        <f t="shared" si="132"/>
        <v>1.3544018058690745E-2</v>
      </c>
      <c r="L1439" s="477">
        <f t="shared" si="133"/>
        <v>3000</v>
      </c>
      <c r="M1439" s="909">
        <f t="shared" si="134"/>
        <v>1.3544018058690745E-2</v>
      </c>
    </row>
    <row r="1440" spans="1:13" x14ac:dyDescent="0.2">
      <c r="A1440" s="459"/>
      <c r="B1440" s="459"/>
      <c r="C1440" s="105" t="s">
        <v>196</v>
      </c>
      <c r="D1440" s="118"/>
      <c r="E1440" s="118"/>
      <c r="F1440" s="477">
        <v>0</v>
      </c>
      <c r="G1440" s="566">
        <v>0</v>
      </c>
      <c r="H1440" s="477">
        <f t="shared" si="135"/>
        <v>0</v>
      </c>
      <c r="I1440" s="477">
        <v>0</v>
      </c>
      <c r="J1440" s="477">
        <f t="shared" si="131"/>
        <v>0</v>
      </c>
      <c r="K1440" s="909"/>
      <c r="L1440" s="477">
        <f t="shared" si="133"/>
        <v>0</v>
      </c>
      <c r="M1440" s="909"/>
    </row>
    <row r="1441" spans="1:13" ht="24" x14ac:dyDescent="0.2">
      <c r="A1441" s="459"/>
      <c r="B1441" s="459"/>
      <c r="C1441" s="106" t="s">
        <v>737</v>
      </c>
      <c r="D1441" s="194">
        <v>221500</v>
      </c>
      <c r="E1441" s="194"/>
      <c r="F1441" s="194">
        <v>0</v>
      </c>
      <c r="G1441" s="194">
        <v>0</v>
      </c>
      <c r="H1441" s="194">
        <f t="shared" si="135"/>
        <v>221500</v>
      </c>
      <c r="I1441" s="194">
        <v>224500</v>
      </c>
      <c r="J1441" s="194">
        <f t="shared" si="131"/>
        <v>3000</v>
      </c>
      <c r="K1441" s="887">
        <f t="shared" si="132"/>
        <v>1.3544018058690745E-2</v>
      </c>
      <c r="L1441" s="194">
        <f t="shared" si="133"/>
        <v>3000</v>
      </c>
      <c r="M1441" s="887">
        <f t="shared" si="134"/>
        <v>1.3544018058690745E-2</v>
      </c>
    </row>
    <row r="1442" spans="1:13" s="56" customFormat="1" x14ac:dyDescent="0.2">
      <c r="A1442" s="459"/>
      <c r="B1442" s="459"/>
      <c r="C1442" s="103" t="s">
        <v>119</v>
      </c>
      <c r="D1442" s="489">
        <v>97850</v>
      </c>
      <c r="E1442" s="145"/>
      <c r="F1442" s="489">
        <v>0</v>
      </c>
      <c r="G1442" s="567">
        <v>0</v>
      </c>
      <c r="H1442" s="489">
        <f t="shared" si="135"/>
        <v>97850</v>
      </c>
      <c r="I1442" s="489">
        <v>97850</v>
      </c>
      <c r="J1442" s="489">
        <f t="shared" si="131"/>
        <v>0</v>
      </c>
      <c r="K1442" s="869">
        <f t="shared" si="132"/>
        <v>0</v>
      </c>
      <c r="L1442" s="489">
        <f t="shared" si="133"/>
        <v>0</v>
      </c>
      <c r="M1442" s="869">
        <f t="shared" si="134"/>
        <v>0</v>
      </c>
    </row>
    <row r="1443" spans="1:13" x14ac:dyDescent="0.2">
      <c r="A1443" s="459"/>
      <c r="B1443" s="459"/>
      <c r="C1443" s="311"/>
      <c r="D1443" s="201"/>
      <c r="E1443" s="201"/>
      <c r="F1443" s="490">
        <v>0</v>
      </c>
      <c r="G1443" s="612">
        <v>0</v>
      </c>
      <c r="H1443" s="490">
        <f t="shared" si="135"/>
        <v>0</v>
      </c>
      <c r="I1443" s="490">
        <v>0</v>
      </c>
      <c r="J1443" s="490">
        <f t="shared" si="131"/>
        <v>0</v>
      </c>
      <c r="K1443" s="914"/>
      <c r="L1443" s="490">
        <f t="shared" si="133"/>
        <v>0</v>
      </c>
      <c r="M1443" s="914"/>
    </row>
    <row r="1444" spans="1:13" ht="15" x14ac:dyDescent="0.2">
      <c r="A1444" s="459" t="s">
        <v>866</v>
      </c>
      <c r="B1444" s="459" t="s">
        <v>278</v>
      </c>
      <c r="C1444" s="402" t="s">
        <v>203</v>
      </c>
      <c r="D1444" s="212">
        <f>D1446+D1451</f>
        <v>1434775</v>
      </c>
      <c r="E1444" s="497">
        <f>E1446+E1451</f>
        <v>43465</v>
      </c>
      <c r="F1444" s="497">
        <f>F1446+F1451</f>
        <v>-200</v>
      </c>
      <c r="G1444" s="669">
        <f>G1446+G1451</f>
        <v>0</v>
      </c>
      <c r="H1444" s="497">
        <f t="shared" si="135"/>
        <v>1478040</v>
      </c>
      <c r="I1444" s="497">
        <v>1467032</v>
      </c>
      <c r="J1444" s="497">
        <f t="shared" si="131"/>
        <v>32257</v>
      </c>
      <c r="K1444" s="956">
        <f t="shared" si="132"/>
        <v>2.2482270739314528E-2</v>
      </c>
      <c r="L1444" s="497">
        <f t="shared" si="133"/>
        <v>-11008</v>
      </c>
      <c r="M1444" s="956">
        <f t="shared" si="134"/>
        <v>-7.4477010094449406E-3</v>
      </c>
    </row>
    <row r="1445" spans="1:13" x14ac:dyDescent="0.2">
      <c r="C1445" s="418"/>
      <c r="D1445" s="177"/>
      <c r="E1445" s="177"/>
      <c r="F1445" s="501"/>
      <c r="G1445" s="676"/>
      <c r="H1445" s="501">
        <f t="shared" si="135"/>
        <v>0</v>
      </c>
      <c r="I1445" s="501">
        <v>0</v>
      </c>
      <c r="J1445" s="501">
        <f t="shared" si="131"/>
        <v>0</v>
      </c>
      <c r="K1445" s="528"/>
      <c r="L1445" s="501">
        <f t="shared" si="133"/>
        <v>0</v>
      </c>
      <c r="M1445" s="528"/>
    </row>
    <row r="1446" spans="1:13" x14ac:dyDescent="0.2">
      <c r="C1446" s="112" t="s">
        <v>215</v>
      </c>
      <c r="D1446" s="170">
        <f>D1448</f>
        <v>309200</v>
      </c>
      <c r="E1446" s="488">
        <v>14314</v>
      </c>
      <c r="F1446" s="488">
        <f>F1448</f>
        <v>-800</v>
      </c>
      <c r="G1446" s="570">
        <f>G1448</f>
        <v>0</v>
      </c>
      <c r="H1446" s="488">
        <f t="shared" si="135"/>
        <v>322714</v>
      </c>
      <c r="I1446" s="488">
        <v>307775</v>
      </c>
      <c r="J1446" s="488">
        <f t="shared" si="131"/>
        <v>-1425</v>
      </c>
      <c r="K1446" s="865">
        <f t="shared" si="132"/>
        <v>-4.6086675291073737E-3</v>
      </c>
      <c r="L1446" s="488">
        <f t="shared" si="133"/>
        <v>-14939</v>
      </c>
      <c r="M1446" s="865">
        <f t="shared" si="134"/>
        <v>-4.6291762985181922E-2</v>
      </c>
    </row>
    <row r="1447" spans="1:13" x14ac:dyDescent="0.2">
      <c r="C1447" s="408" t="s">
        <v>196</v>
      </c>
      <c r="D1447" s="170"/>
      <c r="E1447" s="488"/>
      <c r="F1447" s="488"/>
      <c r="G1447" s="570"/>
      <c r="H1447" s="488">
        <f t="shared" si="135"/>
        <v>0</v>
      </c>
      <c r="I1447" s="488">
        <v>0</v>
      </c>
      <c r="J1447" s="488">
        <f t="shared" si="131"/>
        <v>0</v>
      </c>
      <c r="K1447" s="865"/>
      <c r="L1447" s="488">
        <f t="shared" si="133"/>
        <v>0</v>
      </c>
      <c r="M1447" s="865"/>
    </row>
    <row r="1448" spans="1:13" x14ac:dyDescent="0.2">
      <c r="C1448" s="378" t="s">
        <v>738</v>
      </c>
      <c r="D1448" s="202">
        <v>309200</v>
      </c>
      <c r="E1448" s="493">
        <v>14314</v>
      </c>
      <c r="F1448" s="493">
        <v>-800</v>
      </c>
      <c r="G1448" s="601"/>
      <c r="H1448" s="493">
        <f t="shared" si="135"/>
        <v>322714</v>
      </c>
      <c r="I1448" s="493">
        <v>307775</v>
      </c>
      <c r="J1448" s="493">
        <f t="shared" si="131"/>
        <v>-1425</v>
      </c>
      <c r="K1448" s="868">
        <f t="shared" si="132"/>
        <v>-4.6086675291073737E-3</v>
      </c>
      <c r="L1448" s="493">
        <f t="shared" si="133"/>
        <v>-14939</v>
      </c>
      <c r="M1448" s="868">
        <f t="shared" si="134"/>
        <v>-4.6291762985181922E-2</v>
      </c>
    </row>
    <row r="1449" spans="1:13" s="56" customFormat="1" x14ac:dyDescent="0.2">
      <c r="A1449" s="503"/>
      <c r="B1449" s="503"/>
      <c r="C1449" s="103" t="s">
        <v>119</v>
      </c>
      <c r="D1449" s="489">
        <v>190593</v>
      </c>
      <c r="E1449" s="489">
        <v>10698</v>
      </c>
      <c r="F1449" s="489">
        <v>0</v>
      </c>
      <c r="G1449" s="567">
        <v>0</v>
      </c>
      <c r="H1449" s="489">
        <f t="shared" si="135"/>
        <v>201291</v>
      </c>
      <c r="I1449" s="489">
        <v>203431</v>
      </c>
      <c r="J1449" s="489">
        <f t="shared" si="131"/>
        <v>12838</v>
      </c>
      <c r="K1449" s="869">
        <f t="shared" si="132"/>
        <v>6.7358192588395163E-2</v>
      </c>
      <c r="L1449" s="489">
        <f t="shared" si="133"/>
        <v>2140</v>
      </c>
      <c r="M1449" s="869">
        <f t="shared" si="134"/>
        <v>1.0631374477746149E-2</v>
      </c>
    </row>
    <row r="1450" spans="1:13" x14ac:dyDescent="0.2">
      <c r="C1450" s="103"/>
      <c r="D1450" s="145"/>
      <c r="E1450" s="501"/>
      <c r="F1450" s="489">
        <v>0</v>
      </c>
      <c r="G1450" s="567">
        <v>0</v>
      </c>
      <c r="H1450" s="489">
        <f t="shared" si="135"/>
        <v>0</v>
      </c>
      <c r="I1450" s="489">
        <v>0</v>
      </c>
      <c r="J1450" s="489">
        <f t="shared" si="131"/>
        <v>0</v>
      </c>
      <c r="K1450" s="869"/>
      <c r="L1450" s="489">
        <f t="shared" si="133"/>
        <v>0</v>
      </c>
      <c r="M1450" s="869"/>
    </row>
    <row r="1451" spans="1:13" ht="25.5" x14ac:dyDescent="0.2">
      <c r="C1451" s="407" t="s">
        <v>271</v>
      </c>
      <c r="D1451" s="185">
        <f>D1453+D1457</f>
        <v>1125575</v>
      </c>
      <c r="E1451" s="494">
        <v>29151</v>
      </c>
      <c r="F1451" s="494">
        <f>F1453+F1457</f>
        <v>600</v>
      </c>
      <c r="G1451" s="652">
        <f>G1453+G1457</f>
        <v>0</v>
      </c>
      <c r="H1451" s="494">
        <f t="shared" si="135"/>
        <v>1155326</v>
      </c>
      <c r="I1451" s="494">
        <v>1159257</v>
      </c>
      <c r="J1451" s="494">
        <f t="shared" si="131"/>
        <v>33682</v>
      </c>
      <c r="K1451" s="945">
        <f t="shared" si="132"/>
        <v>2.9924260933300757E-2</v>
      </c>
      <c r="L1451" s="494">
        <f t="shared" si="133"/>
        <v>3931</v>
      </c>
      <c r="M1451" s="945">
        <f t="shared" si="134"/>
        <v>3.4025028433533047E-3</v>
      </c>
    </row>
    <row r="1452" spans="1:13" x14ac:dyDescent="0.2">
      <c r="C1452" s="408" t="s">
        <v>196</v>
      </c>
      <c r="D1452" s="170"/>
      <c r="E1452" s="488"/>
      <c r="F1452" s="488">
        <v>0</v>
      </c>
      <c r="G1452" s="570">
        <v>0</v>
      </c>
      <c r="H1452" s="488">
        <f t="shared" si="135"/>
        <v>0</v>
      </c>
      <c r="I1452" s="488">
        <v>0</v>
      </c>
      <c r="J1452" s="488">
        <f t="shared" si="131"/>
        <v>0</v>
      </c>
      <c r="K1452" s="865"/>
      <c r="L1452" s="488">
        <f t="shared" si="133"/>
        <v>0</v>
      </c>
      <c r="M1452" s="865"/>
    </row>
    <row r="1453" spans="1:13" x14ac:dyDescent="0.2">
      <c r="C1453" s="378" t="s">
        <v>739</v>
      </c>
      <c r="D1453" s="202">
        <v>292893</v>
      </c>
      <c r="E1453" s="493">
        <v>5296</v>
      </c>
      <c r="F1453" s="493">
        <v>600</v>
      </c>
      <c r="G1453" s="601"/>
      <c r="H1453" s="493">
        <f t="shared" si="135"/>
        <v>298789</v>
      </c>
      <c r="I1453" s="493">
        <v>298449</v>
      </c>
      <c r="J1453" s="493">
        <f t="shared" si="131"/>
        <v>5556</v>
      </c>
      <c r="K1453" s="868">
        <f t="shared" si="132"/>
        <v>1.8969384724114267E-2</v>
      </c>
      <c r="L1453" s="493">
        <f t="shared" si="133"/>
        <v>-340</v>
      </c>
      <c r="M1453" s="868">
        <f t="shared" si="134"/>
        <v>-1.1379267643721823E-3</v>
      </c>
    </row>
    <row r="1454" spans="1:13" s="56" customFormat="1" x14ac:dyDescent="0.2">
      <c r="A1454" s="503"/>
      <c r="B1454" s="503"/>
      <c r="C1454" s="103" t="s">
        <v>119</v>
      </c>
      <c r="D1454" s="489">
        <v>183398</v>
      </c>
      <c r="E1454" s="489">
        <v>3958</v>
      </c>
      <c r="F1454" s="489">
        <v>0</v>
      </c>
      <c r="G1454" s="567">
        <v>0</v>
      </c>
      <c r="H1454" s="489">
        <f t="shared" si="135"/>
        <v>187356</v>
      </c>
      <c r="I1454" s="489">
        <v>188148</v>
      </c>
      <c r="J1454" s="489">
        <f t="shared" si="131"/>
        <v>4750</v>
      </c>
      <c r="K1454" s="869">
        <f t="shared" si="132"/>
        <v>2.5899955288498238E-2</v>
      </c>
      <c r="L1454" s="489">
        <f t="shared" si="133"/>
        <v>792</v>
      </c>
      <c r="M1454" s="869">
        <f t="shared" si="134"/>
        <v>4.2272465253314542E-3</v>
      </c>
    </row>
    <row r="1455" spans="1:13" x14ac:dyDescent="0.2">
      <c r="C1455" s="378"/>
      <c r="D1455" s="202"/>
      <c r="E1455" s="493"/>
      <c r="F1455" s="493">
        <v>0</v>
      </c>
      <c r="G1455" s="601">
        <v>0</v>
      </c>
      <c r="H1455" s="493">
        <f t="shared" si="135"/>
        <v>0</v>
      </c>
      <c r="I1455" s="493">
        <v>0</v>
      </c>
      <c r="J1455" s="493">
        <f t="shared" si="131"/>
        <v>0</v>
      </c>
      <c r="K1455" s="868"/>
      <c r="L1455" s="493">
        <f t="shared" si="133"/>
        <v>0</v>
      </c>
      <c r="M1455" s="868"/>
    </row>
    <row r="1456" spans="1:13" x14ac:dyDescent="0.2">
      <c r="C1456" s="408" t="s">
        <v>196</v>
      </c>
      <c r="D1456" s="170"/>
      <c r="E1456" s="488"/>
      <c r="F1456" s="488">
        <v>0</v>
      </c>
      <c r="G1456" s="570">
        <v>0</v>
      </c>
      <c r="H1456" s="488">
        <f t="shared" si="135"/>
        <v>0</v>
      </c>
      <c r="I1456" s="488">
        <v>0</v>
      </c>
      <c r="J1456" s="488">
        <f t="shared" si="131"/>
        <v>0</v>
      </c>
      <c r="K1456" s="865"/>
      <c r="L1456" s="488">
        <f t="shared" si="133"/>
        <v>0</v>
      </c>
      <c r="M1456" s="865"/>
    </row>
    <row r="1457" spans="1:13" x14ac:dyDescent="0.2">
      <c r="C1457" s="378" t="s">
        <v>740</v>
      </c>
      <c r="D1457" s="202">
        <v>832682</v>
      </c>
      <c r="E1457" s="493">
        <v>23855</v>
      </c>
      <c r="F1457" s="493">
        <v>0</v>
      </c>
      <c r="G1457" s="601">
        <v>0</v>
      </c>
      <c r="H1457" s="493">
        <f t="shared" si="135"/>
        <v>856537</v>
      </c>
      <c r="I1457" s="493">
        <v>860808</v>
      </c>
      <c r="J1457" s="493">
        <f t="shared" si="131"/>
        <v>28126</v>
      </c>
      <c r="K1457" s="868">
        <f t="shared" si="132"/>
        <v>3.377760057260755E-2</v>
      </c>
      <c r="L1457" s="493">
        <f t="shared" si="133"/>
        <v>4271</v>
      </c>
      <c r="M1457" s="868">
        <f t="shared" si="134"/>
        <v>4.9863578572787864E-3</v>
      </c>
    </row>
    <row r="1458" spans="1:13" s="56" customFormat="1" x14ac:dyDescent="0.2">
      <c r="A1458" s="503"/>
      <c r="B1458" s="503"/>
      <c r="C1458" s="103" t="s">
        <v>119</v>
      </c>
      <c r="D1458" s="489">
        <v>608328</v>
      </c>
      <c r="E1458" s="489">
        <v>17829</v>
      </c>
      <c r="F1458" s="489">
        <v>0</v>
      </c>
      <c r="G1458" s="567">
        <v>0</v>
      </c>
      <c r="H1458" s="489">
        <f t="shared" si="135"/>
        <v>626157</v>
      </c>
      <c r="I1458" s="489">
        <v>629723</v>
      </c>
      <c r="J1458" s="489">
        <f t="shared" si="131"/>
        <v>21395</v>
      </c>
      <c r="K1458" s="869">
        <f t="shared" si="132"/>
        <v>3.5170171354926949E-2</v>
      </c>
      <c r="L1458" s="489">
        <f t="shared" si="133"/>
        <v>3566</v>
      </c>
      <c r="M1458" s="869">
        <f t="shared" si="134"/>
        <v>5.6950573099078987E-3</v>
      </c>
    </row>
    <row r="1459" spans="1:13" x14ac:dyDescent="0.2">
      <c r="C1459" s="106"/>
      <c r="D1459" s="194"/>
      <c r="E1459" s="194"/>
      <c r="F1459" s="194">
        <v>0</v>
      </c>
      <c r="G1459" s="194">
        <v>0</v>
      </c>
      <c r="H1459" s="194">
        <f t="shared" si="135"/>
        <v>0</v>
      </c>
      <c r="I1459" s="194">
        <v>0</v>
      </c>
      <c r="J1459" s="194">
        <f t="shared" si="131"/>
        <v>0</v>
      </c>
      <c r="K1459" s="887"/>
      <c r="L1459" s="194">
        <f t="shared" si="133"/>
        <v>0</v>
      </c>
      <c r="M1459" s="887"/>
    </row>
    <row r="1460" spans="1:13" ht="15" x14ac:dyDescent="0.2">
      <c r="A1460" s="459" t="s">
        <v>870</v>
      </c>
      <c r="B1460" s="459" t="s">
        <v>278</v>
      </c>
      <c r="C1460" s="402" t="s">
        <v>267</v>
      </c>
      <c r="D1460" s="212">
        <f>D1461</f>
        <v>490500</v>
      </c>
      <c r="E1460" s="212"/>
      <c r="F1460" s="497">
        <f>F1461</f>
        <v>30000</v>
      </c>
      <c r="G1460" s="669">
        <f>G1461</f>
        <v>20000</v>
      </c>
      <c r="H1460" s="497">
        <f t="shared" si="135"/>
        <v>540500</v>
      </c>
      <c r="I1460" s="497">
        <v>520500</v>
      </c>
      <c r="J1460" s="497">
        <f t="shared" si="131"/>
        <v>30000</v>
      </c>
      <c r="K1460" s="956">
        <f t="shared" si="132"/>
        <v>6.1162079510703363E-2</v>
      </c>
      <c r="L1460" s="497">
        <f t="shared" si="133"/>
        <v>-20000</v>
      </c>
      <c r="M1460" s="956">
        <f t="shared" si="134"/>
        <v>-3.7002775208140611E-2</v>
      </c>
    </row>
    <row r="1461" spans="1:13" x14ac:dyDescent="0.2">
      <c r="C1461" s="292" t="s">
        <v>268</v>
      </c>
      <c r="D1461" s="118">
        <v>490500</v>
      </c>
      <c r="E1461" s="118"/>
      <c r="F1461" s="477">
        <v>30000</v>
      </c>
      <c r="G1461" s="566">
        <v>20000</v>
      </c>
      <c r="H1461" s="477">
        <f t="shared" si="135"/>
        <v>540500</v>
      </c>
      <c r="I1461" s="477">
        <v>520500</v>
      </c>
      <c r="J1461" s="477">
        <f t="shared" si="131"/>
        <v>30000</v>
      </c>
      <c r="K1461" s="909">
        <f t="shared" si="132"/>
        <v>6.1162079510703363E-2</v>
      </c>
      <c r="L1461" s="477">
        <f t="shared" si="133"/>
        <v>-20000</v>
      </c>
      <c r="M1461" s="909">
        <f t="shared" si="134"/>
        <v>-3.7002775208140611E-2</v>
      </c>
    </row>
    <row r="1462" spans="1:13" s="56" customFormat="1" x14ac:dyDescent="0.2">
      <c r="A1462" s="503"/>
      <c r="B1462" s="503"/>
      <c r="C1462" s="103" t="s">
        <v>119</v>
      </c>
      <c r="D1462" s="489">
        <v>12000</v>
      </c>
      <c r="E1462" s="145"/>
      <c r="F1462" s="489">
        <v>0</v>
      </c>
      <c r="G1462" s="567">
        <v>0</v>
      </c>
      <c r="H1462" s="489">
        <f t="shared" si="135"/>
        <v>12000</v>
      </c>
      <c r="I1462" s="489">
        <v>12000</v>
      </c>
      <c r="J1462" s="489">
        <f t="shared" si="131"/>
        <v>0</v>
      </c>
      <c r="K1462" s="869">
        <f t="shared" si="132"/>
        <v>0</v>
      </c>
      <c r="L1462" s="489">
        <f t="shared" si="133"/>
        <v>0</v>
      </c>
      <c r="M1462" s="869">
        <f t="shared" si="134"/>
        <v>0</v>
      </c>
    </row>
    <row r="1463" spans="1:13" x14ac:dyDescent="0.2">
      <c r="C1463" s="446"/>
      <c r="D1463" s="447"/>
      <c r="E1463" s="447"/>
      <c r="F1463" s="447">
        <v>0</v>
      </c>
      <c r="G1463" s="677">
        <v>0</v>
      </c>
      <c r="H1463" s="447">
        <f t="shared" si="135"/>
        <v>0</v>
      </c>
      <c r="I1463" s="447">
        <v>0</v>
      </c>
      <c r="J1463" s="447">
        <f t="shared" si="131"/>
        <v>0</v>
      </c>
      <c r="K1463" s="960"/>
      <c r="L1463" s="447">
        <f t="shared" si="133"/>
        <v>0</v>
      </c>
      <c r="M1463" s="960"/>
    </row>
    <row r="1464" spans="1:13" x14ac:dyDescent="0.2">
      <c r="C1464" s="117" t="s">
        <v>197</v>
      </c>
      <c r="D1464" s="200">
        <f>D1466+D1469+D1476+D1478+D1482+D1484+D1487+D1474+D1480</f>
        <v>3718302</v>
      </c>
      <c r="E1464" s="499">
        <f>E1466+E1469+E1476+E1478+E1482+E1484+E1487+E1474+E1480</f>
        <v>71459</v>
      </c>
      <c r="F1464" s="499">
        <f>F1466+F1469+F1476+F1478+F1482+F1484+F1487+F1474+F1480</f>
        <v>90288</v>
      </c>
      <c r="G1464" s="657">
        <f>G1466+G1469+G1476+G1478+G1482+G1484+G1487+G1474+G1480</f>
        <v>76906</v>
      </c>
      <c r="H1464" s="499">
        <f t="shared" si="135"/>
        <v>3956955</v>
      </c>
      <c r="I1464" s="499">
        <v>3963452</v>
      </c>
      <c r="J1464" s="499">
        <f t="shared" ref="J1464:J1527" si="136">I1464-D1464</f>
        <v>245150</v>
      </c>
      <c r="K1464" s="948">
        <f t="shared" ref="K1464:K1526" si="137">J1464/D1464</f>
        <v>6.5930631777623233E-2</v>
      </c>
      <c r="L1464" s="499">
        <f t="shared" ref="L1464:L1527" si="138">I1464-H1464</f>
        <v>6497</v>
      </c>
      <c r="M1464" s="948">
        <f t="shared" ref="M1464:M1526" si="139">L1464/H1464</f>
        <v>1.6419191019357057E-3</v>
      </c>
    </row>
    <row r="1465" spans="1:13" x14ac:dyDescent="0.2">
      <c r="C1465" s="117"/>
      <c r="D1465" s="200"/>
      <c r="E1465" s="200"/>
      <c r="F1465" s="499">
        <v>0</v>
      </c>
      <c r="G1465" s="657">
        <v>0</v>
      </c>
      <c r="H1465" s="499">
        <f t="shared" si="135"/>
        <v>0</v>
      </c>
      <c r="I1465" s="499">
        <v>0</v>
      </c>
      <c r="J1465" s="499">
        <f t="shared" si="136"/>
        <v>0</v>
      </c>
      <c r="K1465" s="948"/>
      <c r="L1465" s="499">
        <f t="shared" si="138"/>
        <v>0</v>
      </c>
      <c r="M1465" s="948"/>
    </row>
    <row r="1466" spans="1:13" x14ac:dyDescent="0.2">
      <c r="A1466" s="459" t="s">
        <v>862</v>
      </c>
      <c r="B1466" s="459" t="s">
        <v>278</v>
      </c>
      <c r="C1466" s="307" t="s">
        <v>272</v>
      </c>
      <c r="D1466" s="202">
        <v>2949568</v>
      </c>
      <c r="E1466" s="493">
        <v>71459</v>
      </c>
      <c r="F1466" s="493">
        <v>31773</v>
      </c>
      <c r="G1466" s="601">
        <v>10274</v>
      </c>
      <c r="H1466" s="601">
        <f t="shared" si="135"/>
        <v>3063074</v>
      </c>
      <c r="I1466" s="601">
        <v>3096727</v>
      </c>
      <c r="J1466" s="601">
        <f t="shared" si="136"/>
        <v>147159</v>
      </c>
      <c r="K1466" s="757">
        <f t="shared" si="137"/>
        <v>4.9891712955931172E-2</v>
      </c>
      <c r="L1466" s="601">
        <f t="shared" si="138"/>
        <v>33653</v>
      </c>
      <c r="M1466" s="757">
        <f t="shared" si="139"/>
        <v>1.098667547698815E-2</v>
      </c>
    </row>
    <row r="1467" spans="1:13" x14ac:dyDescent="0.2">
      <c r="A1467" s="459"/>
      <c r="B1467" s="459"/>
      <c r="C1467" s="308" t="s">
        <v>119</v>
      </c>
      <c r="D1467" s="489">
        <v>1727180</v>
      </c>
      <c r="E1467" s="489">
        <v>53407</v>
      </c>
      <c r="F1467" s="489">
        <v>23747</v>
      </c>
      <c r="G1467" s="781">
        <v>-3937</v>
      </c>
      <c r="H1467" s="567">
        <f t="shared" si="135"/>
        <v>1800397</v>
      </c>
      <c r="I1467" s="567">
        <v>1824320</v>
      </c>
      <c r="J1467" s="567">
        <f t="shared" si="136"/>
        <v>97140</v>
      </c>
      <c r="K1467" s="878">
        <f t="shared" si="137"/>
        <v>5.6241966674000395E-2</v>
      </c>
      <c r="L1467" s="567">
        <f t="shared" si="138"/>
        <v>23923</v>
      </c>
      <c r="M1467" s="878">
        <f t="shared" si="139"/>
        <v>1.328762489606459E-2</v>
      </c>
    </row>
    <row r="1468" spans="1:13" x14ac:dyDescent="0.2">
      <c r="A1468" s="459"/>
      <c r="B1468" s="459"/>
      <c r="C1468" s="338"/>
      <c r="D1468" s="179"/>
      <c r="E1468" s="179"/>
      <c r="F1468" s="179">
        <v>0</v>
      </c>
      <c r="G1468" s="577">
        <v>0</v>
      </c>
      <c r="H1468" s="577">
        <f t="shared" si="135"/>
        <v>0</v>
      </c>
      <c r="I1468" s="577">
        <v>0</v>
      </c>
      <c r="J1468" s="577">
        <f t="shared" si="136"/>
        <v>0</v>
      </c>
      <c r="K1468" s="757"/>
      <c r="L1468" s="577">
        <f t="shared" si="138"/>
        <v>0</v>
      </c>
      <c r="M1468" s="757"/>
    </row>
    <row r="1469" spans="1:13" s="12" customFormat="1" x14ac:dyDescent="0.2">
      <c r="A1469" s="503"/>
      <c r="B1469" s="503"/>
      <c r="C1469" s="410" t="s">
        <v>510</v>
      </c>
      <c r="D1469" s="213">
        <f>179800+18934</f>
        <v>198734</v>
      </c>
      <c r="E1469" s="213"/>
      <c r="F1469" s="213">
        <v>10000</v>
      </c>
      <c r="G1469" s="613">
        <v>65000</v>
      </c>
      <c r="H1469" s="613">
        <f t="shared" si="135"/>
        <v>273734</v>
      </c>
      <c r="I1469" s="613">
        <v>223725</v>
      </c>
      <c r="J1469" s="613">
        <f t="shared" si="136"/>
        <v>24991</v>
      </c>
      <c r="K1469" s="825">
        <f t="shared" si="137"/>
        <v>0.12575100385439833</v>
      </c>
      <c r="L1469" s="613">
        <f t="shared" si="138"/>
        <v>-50009</v>
      </c>
      <c r="M1469" s="825">
        <f t="shared" si="139"/>
        <v>-0.18269195642485039</v>
      </c>
    </row>
    <row r="1470" spans="1:13" x14ac:dyDescent="0.2">
      <c r="A1470" s="459" t="s">
        <v>865</v>
      </c>
      <c r="B1470" s="459" t="s">
        <v>278</v>
      </c>
      <c r="C1470" s="308" t="s">
        <v>741</v>
      </c>
      <c r="D1470" s="489">
        <v>58725</v>
      </c>
      <c r="E1470" s="489"/>
      <c r="F1470" s="489">
        <v>0</v>
      </c>
      <c r="G1470" s="567">
        <v>0</v>
      </c>
      <c r="H1470" s="567">
        <f t="shared" ref="H1470:H1532" si="140">D1470+E1470+F1470+G1470</f>
        <v>58725</v>
      </c>
      <c r="I1470" s="567">
        <v>58725</v>
      </c>
      <c r="J1470" s="567">
        <f t="shared" si="136"/>
        <v>0</v>
      </c>
      <c r="K1470" s="878">
        <f t="shared" si="137"/>
        <v>0</v>
      </c>
      <c r="L1470" s="567">
        <f t="shared" si="138"/>
        <v>0</v>
      </c>
      <c r="M1470" s="878">
        <f t="shared" si="139"/>
        <v>0</v>
      </c>
    </row>
    <row r="1471" spans="1:13" x14ac:dyDescent="0.2">
      <c r="C1471" s="419" t="s">
        <v>119</v>
      </c>
      <c r="D1471" s="489">
        <v>12000</v>
      </c>
      <c r="E1471" s="145"/>
      <c r="F1471" s="489">
        <v>0</v>
      </c>
      <c r="G1471" s="567">
        <v>0</v>
      </c>
      <c r="H1471" s="567">
        <f t="shared" si="140"/>
        <v>12000</v>
      </c>
      <c r="I1471" s="567">
        <v>17400</v>
      </c>
      <c r="J1471" s="567">
        <f t="shared" si="136"/>
        <v>5400</v>
      </c>
      <c r="K1471" s="878">
        <f t="shared" si="137"/>
        <v>0.45</v>
      </c>
      <c r="L1471" s="567">
        <f t="shared" si="138"/>
        <v>5400</v>
      </c>
      <c r="M1471" s="878">
        <f t="shared" si="139"/>
        <v>0.45</v>
      </c>
    </row>
    <row r="1472" spans="1:13" x14ac:dyDescent="0.2">
      <c r="A1472" s="459" t="s">
        <v>864</v>
      </c>
      <c r="B1472" s="459" t="s">
        <v>278</v>
      </c>
      <c r="C1472" s="308" t="s">
        <v>742</v>
      </c>
      <c r="D1472" s="145">
        <f>121075+18934</f>
        <v>140009</v>
      </c>
      <c r="E1472" s="145"/>
      <c r="F1472" s="489">
        <v>10000</v>
      </c>
      <c r="G1472" s="567">
        <v>65000</v>
      </c>
      <c r="H1472" s="567">
        <f t="shared" si="140"/>
        <v>215009</v>
      </c>
      <c r="I1472" s="567">
        <v>165000</v>
      </c>
      <c r="J1472" s="567">
        <f t="shared" si="136"/>
        <v>24991</v>
      </c>
      <c r="K1472" s="878">
        <f t="shared" si="137"/>
        <v>0.17849566813561984</v>
      </c>
      <c r="L1472" s="567">
        <f t="shared" si="138"/>
        <v>-50009</v>
      </c>
      <c r="M1472" s="878">
        <f t="shared" si="139"/>
        <v>-0.23259026366338154</v>
      </c>
    </row>
    <row r="1473" spans="1:13" x14ac:dyDescent="0.2">
      <c r="C1473" s="338"/>
      <c r="D1473" s="179"/>
      <c r="E1473" s="179"/>
      <c r="F1473" s="179">
        <v>0</v>
      </c>
      <c r="G1473" s="577">
        <v>0</v>
      </c>
      <c r="H1473" s="577">
        <f t="shared" si="140"/>
        <v>0</v>
      </c>
      <c r="I1473" s="577">
        <v>0</v>
      </c>
      <c r="J1473" s="577">
        <f t="shared" si="136"/>
        <v>0</v>
      </c>
      <c r="K1473" s="757"/>
      <c r="L1473" s="577">
        <f t="shared" si="138"/>
        <v>0</v>
      </c>
      <c r="M1473" s="757"/>
    </row>
    <row r="1474" spans="1:13" x14ac:dyDescent="0.2">
      <c r="A1474" s="459" t="s">
        <v>864</v>
      </c>
      <c r="B1474" s="459" t="s">
        <v>278</v>
      </c>
      <c r="C1474" s="338" t="s">
        <v>238</v>
      </c>
      <c r="D1474" s="179">
        <v>7000</v>
      </c>
      <c r="E1474" s="179"/>
      <c r="F1474" s="179">
        <v>0</v>
      </c>
      <c r="G1474" s="577">
        <v>0</v>
      </c>
      <c r="H1474" s="577">
        <f t="shared" si="140"/>
        <v>7000</v>
      </c>
      <c r="I1474" s="577">
        <v>7000</v>
      </c>
      <c r="J1474" s="577">
        <f t="shared" si="136"/>
        <v>0</v>
      </c>
      <c r="K1474" s="757">
        <f t="shared" si="137"/>
        <v>0</v>
      </c>
      <c r="L1474" s="577">
        <f t="shared" si="138"/>
        <v>0</v>
      </c>
      <c r="M1474" s="757">
        <f t="shared" si="139"/>
        <v>0</v>
      </c>
    </row>
    <row r="1475" spans="1:13" x14ac:dyDescent="0.2">
      <c r="A1475" s="459"/>
      <c r="B1475" s="459"/>
      <c r="C1475" s="338"/>
      <c r="D1475" s="179"/>
      <c r="E1475" s="179"/>
      <c r="F1475" s="179">
        <v>0</v>
      </c>
      <c r="G1475" s="577">
        <v>0</v>
      </c>
      <c r="H1475" s="577">
        <f t="shared" si="140"/>
        <v>0</v>
      </c>
      <c r="I1475" s="577">
        <v>0</v>
      </c>
      <c r="J1475" s="577">
        <f t="shared" si="136"/>
        <v>0</v>
      </c>
      <c r="K1475" s="757"/>
      <c r="L1475" s="577">
        <f t="shared" si="138"/>
        <v>0</v>
      </c>
      <c r="M1475" s="757"/>
    </row>
    <row r="1476" spans="1:13" x14ac:dyDescent="0.2">
      <c r="A1476" s="459" t="s">
        <v>866</v>
      </c>
      <c r="B1476" s="459" t="s">
        <v>278</v>
      </c>
      <c r="C1476" s="410" t="s">
        <v>273</v>
      </c>
      <c r="D1476" s="213">
        <v>80000</v>
      </c>
      <c r="E1476" s="213"/>
      <c r="F1476" s="213">
        <v>0</v>
      </c>
      <c r="G1476" s="613">
        <v>872</v>
      </c>
      <c r="H1476" s="613">
        <f t="shared" si="140"/>
        <v>80872</v>
      </c>
      <c r="I1476" s="613">
        <v>80000</v>
      </c>
      <c r="J1476" s="613">
        <f t="shared" si="136"/>
        <v>0</v>
      </c>
      <c r="K1476" s="825">
        <f t="shared" si="137"/>
        <v>0</v>
      </c>
      <c r="L1476" s="613">
        <f t="shared" si="138"/>
        <v>-872</v>
      </c>
      <c r="M1476" s="825">
        <f t="shared" si="139"/>
        <v>-1.0782471065387279E-2</v>
      </c>
    </row>
    <row r="1477" spans="1:13" x14ac:dyDescent="0.2">
      <c r="A1477" s="459"/>
      <c r="B1477" s="459"/>
      <c r="C1477" s="338"/>
      <c r="D1477" s="179"/>
      <c r="E1477" s="179"/>
      <c r="F1477" s="179">
        <v>0</v>
      </c>
      <c r="G1477" s="577">
        <v>0</v>
      </c>
      <c r="H1477" s="577">
        <f t="shared" si="140"/>
        <v>0</v>
      </c>
      <c r="I1477" s="577">
        <v>0</v>
      </c>
      <c r="J1477" s="577">
        <f t="shared" si="136"/>
        <v>0</v>
      </c>
      <c r="K1477" s="757"/>
      <c r="L1477" s="577">
        <f t="shared" si="138"/>
        <v>0</v>
      </c>
      <c r="M1477" s="757"/>
    </row>
    <row r="1478" spans="1:13" s="56" customFormat="1" x14ac:dyDescent="0.2">
      <c r="A1478" s="459" t="s">
        <v>870</v>
      </c>
      <c r="B1478" s="459" t="s">
        <v>278</v>
      </c>
      <c r="C1478" s="315" t="s">
        <v>269</v>
      </c>
      <c r="D1478" s="197">
        <f>98800+5200</f>
        <v>104000</v>
      </c>
      <c r="E1478" s="197"/>
      <c r="F1478" s="496">
        <v>66515</v>
      </c>
      <c r="G1478" s="613">
        <v>10000</v>
      </c>
      <c r="H1478" s="613">
        <f t="shared" si="140"/>
        <v>180515</v>
      </c>
      <c r="I1478" s="613">
        <v>193000</v>
      </c>
      <c r="J1478" s="613">
        <f t="shared" si="136"/>
        <v>89000</v>
      </c>
      <c r="K1478" s="825">
        <f t="shared" si="137"/>
        <v>0.85576923076923073</v>
      </c>
      <c r="L1478" s="613">
        <f t="shared" si="138"/>
        <v>12485</v>
      </c>
      <c r="M1478" s="825">
        <f t="shared" si="139"/>
        <v>6.9163227432623334E-2</v>
      </c>
    </row>
    <row r="1479" spans="1:13" s="56" customFormat="1" x14ac:dyDescent="0.2">
      <c r="A1479" s="503"/>
      <c r="B1479" s="503"/>
      <c r="C1479" s="315"/>
      <c r="D1479" s="197"/>
      <c r="E1479" s="197"/>
      <c r="F1479" s="496">
        <v>0</v>
      </c>
      <c r="G1479" s="613">
        <v>0</v>
      </c>
      <c r="H1479" s="613">
        <f t="shared" si="140"/>
        <v>0</v>
      </c>
      <c r="I1479" s="613">
        <v>0</v>
      </c>
      <c r="J1479" s="613">
        <f t="shared" si="136"/>
        <v>0</v>
      </c>
      <c r="K1479" s="825"/>
      <c r="L1479" s="613">
        <f t="shared" si="138"/>
        <v>0</v>
      </c>
      <c r="M1479" s="825"/>
    </row>
    <row r="1480" spans="1:13" x14ac:dyDescent="0.2">
      <c r="A1480" s="459" t="s">
        <v>869</v>
      </c>
      <c r="B1480" s="459" t="s">
        <v>278</v>
      </c>
      <c r="C1480" s="104" t="s">
        <v>275</v>
      </c>
      <c r="D1480" s="197">
        <v>76500</v>
      </c>
      <c r="E1480" s="197"/>
      <c r="F1480" s="496">
        <v>0</v>
      </c>
      <c r="G1480" s="613">
        <v>0</v>
      </c>
      <c r="H1480" s="613">
        <f t="shared" si="140"/>
        <v>76500</v>
      </c>
      <c r="I1480" s="613">
        <v>78500</v>
      </c>
      <c r="J1480" s="613">
        <f t="shared" si="136"/>
        <v>2000</v>
      </c>
      <c r="K1480" s="825">
        <f t="shared" si="137"/>
        <v>2.6143790849673203E-2</v>
      </c>
      <c r="L1480" s="613">
        <f t="shared" si="138"/>
        <v>2000</v>
      </c>
      <c r="M1480" s="825">
        <f t="shared" si="139"/>
        <v>2.6143790849673203E-2</v>
      </c>
    </row>
    <row r="1481" spans="1:13" x14ac:dyDescent="0.2">
      <c r="C1481" s="315"/>
      <c r="D1481" s="197"/>
      <c r="E1481" s="197"/>
      <c r="F1481" s="496">
        <v>0</v>
      </c>
      <c r="G1481" s="613">
        <v>0</v>
      </c>
      <c r="H1481" s="613">
        <f t="shared" si="140"/>
        <v>0</v>
      </c>
      <c r="I1481" s="613">
        <v>0</v>
      </c>
      <c r="J1481" s="613">
        <f t="shared" si="136"/>
        <v>0</v>
      </c>
      <c r="K1481" s="825"/>
      <c r="L1481" s="613">
        <f t="shared" si="138"/>
        <v>0</v>
      </c>
      <c r="M1481" s="825"/>
    </row>
    <row r="1482" spans="1:13" x14ac:dyDescent="0.2">
      <c r="A1482" s="459" t="s">
        <v>869</v>
      </c>
      <c r="B1482" s="459" t="s">
        <v>278</v>
      </c>
      <c r="C1482" s="104" t="s">
        <v>252</v>
      </c>
      <c r="D1482" s="172">
        <v>75500</v>
      </c>
      <c r="E1482" s="172"/>
      <c r="F1482" s="172">
        <v>0</v>
      </c>
      <c r="G1482" s="574">
        <v>0</v>
      </c>
      <c r="H1482" s="574">
        <f t="shared" si="140"/>
        <v>75500</v>
      </c>
      <c r="I1482" s="574">
        <v>75500</v>
      </c>
      <c r="J1482" s="574">
        <f t="shared" si="136"/>
        <v>0</v>
      </c>
      <c r="K1482" s="757">
        <f t="shared" si="137"/>
        <v>0</v>
      </c>
      <c r="L1482" s="574">
        <f t="shared" si="138"/>
        <v>0</v>
      </c>
      <c r="M1482" s="757">
        <f t="shared" si="139"/>
        <v>0</v>
      </c>
    </row>
    <row r="1483" spans="1:13" x14ac:dyDescent="0.2">
      <c r="A1483" s="459"/>
      <c r="B1483" s="459"/>
      <c r="C1483" s="393"/>
      <c r="D1483" s="182"/>
      <c r="E1483" s="182"/>
      <c r="F1483" s="491">
        <v>0</v>
      </c>
      <c r="G1483" s="571">
        <v>0</v>
      </c>
      <c r="H1483" s="571">
        <f t="shared" si="140"/>
        <v>0</v>
      </c>
      <c r="I1483" s="571">
        <v>0</v>
      </c>
      <c r="J1483" s="571">
        <f t="shared" si="136"/>
        <v>0</v>
      </c>
      <c r="K1483" s="529"/>
      <c r="L1483" s="571">
        <f t="shared" si="138"/>
        <v>0</v>
      </c>
      <c r="M1483" s="529"/>
    </row>
    <row r="1484" spans="1:13" x14ac:dyDescent="0.2">
      <c r="A1484" s="459" t="s">
        <v>869</v>
      </c>
      <c r="B1484" s="459" t="s">
        <v>278</v>
      </c>
      <c r="C1484" s="307" t="s">
        <v>743</v>
      </c>
      <c r="D1484" s="202">
        <v>208000</v>
      </c>
      <c r="E1484" s="202"/>
      <c r="F1484" s="493">
        <v>-18000</v>
      </c>
      <c r="G1484" s="601">
        <v>-9240</v>
      </c>
      <c r="H1484" s="601">
        <f t="shared" si="140"/>
        <v>180760</v>
      </c>
      <c r="I1484" s="601">
        <v>190000</v>
      </c>
      <c r="J1484" s="601">
        <f t="shared" si="136"/>
        <v>-18000</v>
      </c>
      <c r="K1484" s="757">
        <f t="shared" si="137"/>
        <v>-8.6538461538461536E-2</v>
      </c>
      <c r="L1484" s="601">
        <f t="shared" si="138"/>
        <v>9240</v>
      </c>
      <c r="M1484" s="757">
        <f t="shared" si="139"/>
        <v>5.1117503872538175E-2</v>
      </c>
    </row>
    <row r="1485" spans="1:13" x14ac:dyDescent="0.2">
      <c r="C1485" s="308" t="s">
        <v>119</v>
      </c>
      <c r="D1485" s="489">
        <v>96120</v>
      </c>
      <c r="E1485" s="145"/>
      <c r="F1485" s="489">
        <v>0</v>
      </c>
      <c r="G1485" s="567">
        <v>0</v>
      </c>
      <c r="H1485" s="567">
        <f t="shared" si="140"/>
        <v>96120</v>
      </c>
      <c r="I1485" s="567">
        <v>96120</v>
      </c>
      <c r="J1485" s="567">
        <f t="shared" si="136"/>
        <v>0</v>
      </c>
      <c r="K1485" s="878">
        <f t="shared" si="137"/>
        <v>0</v>
      </c>
      <c r="L1485" s="567">
        <f t="shared" si="138"/>
        <v>0</v>
      </c>
      <c r="M1485" s="878">
        <f t="shared" si="139"/>
        <v>0</v>
      </c>
    </row>
    <row r="1486" spans="1:13" x14ac:dyDescent="0.2">
      <c r="C1486" s="393"/>
      <c r="D1486" s="182"/>
      <c r="E1486" s="182"/>
      <c r="F1486" s="491">
        <v>0</v>
      </c>
      <c r="G1486" s="571">
        <v>0</v>
      </c>
      <c r="H1486" s="571">
        <f t="shared" si="140"/>
        <v>0</v>
      </c>
      <c r="I1486" s="571">
        <v>0</v>
      </c>
      <c r="J1486" s="571">
        <f t="shared" si="136"/>
        <v>0</v>
      </c>
      <c r="K1486" s="529"/>
      <c r="L1486" s="571">
        <f t="shared" si="138"/>
        <v>0</v>
      </c>
      <c r="M1486" s="529"/>
    </row>
    <row r="1487" spans="1:13" x14ac:dyDescent="0.2">
      <c r="A1487" s="459" t="s">
        <v>883</v>
      </c>
      <c r="B1487" s="459" t="s">
        <v>278</v>
      </c>
      <c r="C1487" s="104" t="s">
        <v>276</v>
      </c>
      <c r="D1487" s="172">
        <v>19000</v>
      </c>
      <c r="E1487" s="172"/>
      <c r="F1487" s="172">
        <v>0</v>
      </c>
      <c r="G1487" s="574">
        <v>0</v>
      </c>
      <c r="H1487" s="574">
        <f t="shared" si="140"/>
        <v>19000</v>
      </c>
      <c r="I1487" s="574">
        <v>19000</v>
      </c>
      <c r="J1487" s="574">
        <f t="shared" si="136"/>
        <v>0</v>
      </c>
      <c r="K1487" s="757">
        <f t="shared" si="137"/>
        <v>0</v>
      </c>
      <c r="L1487" s="574">
        <f t="shared" si="138"/>
        <v>0</v>
      </c>
      <c r="M1487" s="757">
        <f t="shared" si="139"/>
        <v>0</v>
      </c>
    </row>
    <row r="1488" spans="1:13" x14ac:dyDescent="0.2">
      <c r="C1488" s="108"/>
      <c r="D1488" s="179"/>
      <c r="E1488" s="179"/>
      <c r="F1488" s="179">
        <v>0</v>
      </c>
      <c r="G1488" s="574">
        <v>0</v>
      </c>
      <c r="H1488" s="179">
        <f t="shared" si="140"/>
        <v>0</v>
      </c>
      <c r="I1488" s="179">
        <v>0</v>
      </c>
      <c r="J1488" s="179">
        <f t="shared" si="136"/>
        <v>0</v>
      </c>
      <c r="K1488" s="542"/>
      <c r="L1488" s="179">
        <f t="shared" si="138"/>
        <v>0</v>
      </c>
      <c r="M1488" s="542"/>
    </row>
    <row r="1489" spans="1:13" x14ac:dyDescent="0.2">
      <c r="C1489" s="108"/>
      <c r="D1489" s="179"/>
      <c r="E1489" s="179"/>
      <c r="F1489" s="179">
        <v>0</v>
      </c>
      <c r="G1489" s="179"/>
      <c r="H1489" s="179">
        <f t="shared" si="140"/>
        <v>0</v>
      </c>
      <c r="I1489" s="179">
        <v>0</v>
      </c>
      <c r="J1489" s="179">
        <f t="shared" si="136"/>
        <v>0</v>
      </c>
      <c r="K1489" s="542"/>
      <c r="L1489" s="179">
        <f t="shared" si="138"/>
        <v>0</v>
      </c>
      <c r="M1489" s="542"/>
    </row>
    <row r="1490" spans="1:13" ht="15.75" x14ac:dyDescent="0.2">
      <c r="C1490" s="289" t="s">
        <v>279</v>
      </c>
      <c r="D1490" s="176"/>
      <c r="E1490" s="176"/>
      <c r="F1490" s="176">
        <v>0</v>
      </c>
      <c r="G1490" s="176"/>
      <c r="H1490" s="176">
        <f t="shared" si="140"/>
        <v>0</v>
      </c>
      <c r="I1490" s="176">
        <v>0</v>
      </c>
      <c r="J1490" s="176">
        <f t="shared" si="136"/>
        <v>0</v>
      </c>
      <c r="K1490" s="906"/>
      <c r="L1490" s="176">
        <f t="shared" si="138"/>
        <v>0</v>
      </c>
      <c r="M1490" s="906"/>
    </row>
    <row r="1491" spans="1:13" x14ac:dyDescent="0.2">
      <c r="C1491" s="108"/>
      <c r="D1491" s="179"/>
      <c r="E1491" s="179"/>
      <c r="F1491" s="179">
        <v>0</v>
      </c>
      <c r="G1491" s="179"/>
      <c r="H1491" s="179">
        <f t="shared" si="140"/>
        <v>0</v>
      </c>
      <c r="I1491" s="179">
        <v>0</v>
      </c>
      <c r="J1491" s="179">
        <f t="shared" si="136"/>
        <v>0</v>
      </c>
      <c r="K1491" s="542"/>
      <c r="L1491" s="179">
        <f t="shared" si="138"/>
        <v>0</v>
      </c>
      <c r="M1491" s="542"/>
    </row>
    <row r="1492" spans="1:13" x14ac:dyDescent="0.2">
      <c r="C1492" s="100" t="s">
        <v>193</v>
      </c>
      <c r="D1492" s="170">
        <f>D1499+D1520+D1523+D1509+D1503</f>
        <v>4333642</v>
      </c>
      <c r="E1492" s="488">
        <f>E1499+E1520+E1523+E1509+E1503</f>
        <v>57252</v>
      </c>
      <c r="F1492" s="488">
        <f>F1499+F1520+F1523+F1509+F1503</f>
        <v>19450</v>
      </c>
      <c r="G1492" s="570">
        <f>G1499+G1520+G1523+G1509+G1503</f>
        <v>-6157</v>
      </c>
      <c r="H1492" s="488">
        <f t="shared" si="140"/>
        <v>4404187</v>
      </c>
      <c r="I1492" s="488">
        <v>4711675</v>
      </c>
      <c r="J1492" s="488">
        <f t="shared" si="136"/>
        <v>378033</v>
      </c>
      <c r="K1492" s="865">
        <f t="shared" si="137"/>
        <v>8.7232171000742556E-2</v>
      </c>
      <c r="L1492" s="488">
        <f t="shared" si="138"/>
        <v>307488</v>
      </c>
      <c r="M1492" s="865">
        <f t="shared" si="139"/>
        <v>6.9817198951815623E-2</v>
      </c>
    </row>
    <row r="1493" spans="1:13" x14ac:dyDescent="0.2">
      <c r="C1493" s="101" t="s">
        <v>479</v>
      </c>
      <c r="D1493" s="182">
        <v>378500</v>
      </c>
      <c r="E1493" s="491"/>
      <c r="F1493" s="491"/>
      <c r="G1493" s="571">
        <v>90200</v>
      </c>
      <c r="H1493" s="491">
        <f t="shared" si="140"/>
        <v>468700</v>
      </c>
      <c r="I1493" s="491">
        <v>432700</v>
      </c>
      <c r="J1493" s="491">
        <f t="shared" si="136"/>
        <v>54200</v>
      </c>
      <c r="K1493" s="866">
        <f t="shared" si="137"/>
        <v>0.14319682959048877</v>
      </c>
      <c r="L1493" s="491">
        <f t="shared" si="138"/>
        <v>-36000</v>
      </c>
      <c r="M1493" s="866">
        <f t="shared" si="139"/>
        <v>-7.6808192873906556E-2</v>
      </c>
    </row>
    <row r="1494" spans="1:13" x14ac:dyDescent="0.2">
      <c r="C1494" s="107" t="s">
        <v>116</v>
      </c>
      <c r="D1494" s="183">
        <f>D1495+D1496</f>
        <v>4333642</v>
      </c>
      <c r="E1494" s="183">
        <f>E1495+E1496</f>
        <v>57252</v>
      </c>
      <c r="F1494" s="183">
        <f>F1495+F1496</f>
        <v>19450</v>
      </c>
      <c r="G1494" s="570">
        <f>G1495+G1496</f>
        <v>-6157</v>
      </c>
      <c r="H1494" s="183">
        <f t="shared" si="140"/>
        <v>4404187</v>
      </c>
      <c r="I1494" s="183">
        <v>4711675</v>
      </c>
      <c r="J1494" s="183">
        <f t="shared" si="136"/>
        <v>378033</v>
      </c>
      <c r="K1494" s="528">
        <f t="shared" si="137"/>
        <v>8.7232171000742556E-2</v>
      </c>
      <c r="L1494" s="183">
        <f t="shared" si="138"/>
        <v>307488</v>
      </c>
      <c r="M1494" s="528">
        <f t="shared" si="139"/>
        <v>6.9817198951815623E-2</v>
      </c>
    </row>
    <row r="1495" spans="1:13" x14ac:dyDescent="0.2">
      <c r="C1495" s="102" t="s">
        <v>117</v>
      </c>
      <c r="D1495" s="182">
        <f>'2.2 OMATULUD'!B614</f>
        <v>837847</v>
      </c>
      <c r="E1495" s="491"/>
      <c r="F1495" s="491">
        <v>-16231</v>
      </c>
      <c r="G1495" s="571">
        <v>-60343</v>
      </c>
      <c r="H1495" s="491">
        <f t="shared" si="140"/>
        <v>761273</v>
      </c>
      <c r="I1495" s="491">
        <v>862275</v>
      </c>
      <c r="J1495" s="491">
        <f t="shared" si="136"/>
        <v>24428</v>
      </c>
      <c r="K1495" s="866">
        <f t="shared" si="137"/>
        <v>2.9155681168518834E-2</v>
      </c>
      <c r="L1495" s="491">
        <f t="shared" si="138"/>
        <v>101002</v>
      </c>
      <c r="M1495" s="866">
        <f t="shared" si="139"/>
        <v>0.13267513756563021</v>
      </c>
    </row>
    <row r="1496" spans="1:13" s="6" customFormat="1" x14ac:dyDescent="0.2">
      <c r="A1496" s="503"/>
      <c r="B1496" s="503"/>
      <c r="C1496" s="95" t="s">
        <v>118</v>
      </c>
      <c r="D1496" s="182">
        <f>D1492-D1495</f>
        <v>3495795</v>
      </c>
      <c r="E1496" s="491">
        <f>E1492-E1495</f>
        <v>57252</v>
      </c>
      <c r="F1496" s="491">
        <f>F1492-F1495</f>
        <v>35681</v>
      </c>
      <c r="G1496" s="571">
        <f>G1492-G1495</f>
        <v>54186</v>
      </c>
      <c r="H1496" s="491">
        <f t="shared" si="140"/>
        <v>3642914</v>
      </c>
      <c r="I1496" s="491">
        <v>3849400</v>
      </c>
      <c r="J1496" s="491">
        <f t="shared" si="136"/>
        <v>353605</v>
      </c>
      <c r="K1496" s="866">
        <f t="shared" si="137"/>
        <v>0.10115152633378101</v>
      </c>
      <c r="L1496" s="491">
        <f t="shared" si="138"/>
        <v>206486</v>
      </c>
      <c r="M1496" s="866">
        <f t="shared" si="139"/>
        <v>5.6681546695859411E-2</v>
      </c>
    </row>
    <row r="1497" spans="1:13" x14ac:dyDescent="0.2">
      <c r="A1497" s="459"/>
      <c r="B1497" s="459"/>
      <c r="C1497" s="473" t="s">
        <v>909</v>
      </c>
      <c r="D1497" s="474">
        <f>D1501+D1507+D1514+D1518+D1526+D1542</f>
        <v>1959558</v>
      </c>
      <c r="E1497" s="474">
        <f>E1501+E1507+E1514+E1518+E1526+E1542</f>
        <v>42789</v>
      </c>
      <c r="F1497" s="474">
        <f>F1501+F1507+F1514+F1518+F1526+F1542</f>
        <v>35552</v>
      </c>
      <c r="G1497" s="572">
        <f>G1501+G1507+G1514+G1518+G1526+G1542</f>
        <v>-17189</v>
      </c>
      <c r="H1497" s="474">
        <f t="shared" si="140"/>
        <v>2020710</v>
      </c>
      <c r="I1497" s="474">
        <v>2130940</v>
      </c>
      <c r="J1497" s="474">
        <f t="shared" si="136"/>
        <v>171382</v>
      </c>
      <c r="K1497" s="867">
        <f t="shared" si="137"/>
        <v>8.7459518932330657E-2</v>
      </c>
      <c r="L1497" s="474">
        <f t="shared" si="138"/>
        <v>110230</v>
      </c>
      <c r="M1497" s="867">
        <f t="shared" si="139"/>
        <v>5.4550133368964374E-2</v>
      </c>
    </row>
    <row r="1498" spans="1:13" x14ac:dyDescent="0.2">
      <c r="C1498" s="95"/>
      <c r="D1498" s="182"/>
      <c r="E1498" s="182"/>
      <c r="F1498" s="491">
        <v>0</v>
      </c>
      <c r="G1498" s="571">
        <v>0</v>
      </c>
      <c r="H1498" s="491">
        <f t="shared" si="140"/>
        <v>0</v>
      </c>
      <c r="I1498" s="491">
        <v>0</v>
      </c>
      <c r="J1498" s="491">
        <f t="shared" si="136"/>
        <v>0</v>
      </c>
      <c r="K1498" s="866"/>
      <c r="L1498" s="491">
        <f t="shared" si="138"/>
        <v>0</v>
      </c>
      <c r="M1498" s="866"/>
    </row>
    <row r="1499" spans="1:13" ht="15" x14ac:dyDescent="0.2">
      <c r="A1499" s="459" t="s">
        <v>864</v>
      </c>
      <c r="B1499" s="459" t="s">
        <v>279</v>
      </c>
      <c r="C1499" s="402" t="s">
        <v>198</v>
      </c>
      <c r="D1499" s="212">
        <f>D1500</f>
        <v>530106</v>
      </c>
      <c r="E1499" s="212"/>
      <c r="F1499" s="497">
        <f>F1500</f>
        <v>-19564</v>
      </c>
      <c r="G1499" s="669">
        <f>G1500</f>
        <v>-12000</v>
      </c>
      <c r="H1499" s="497">
        <f t="shared" si="140"/>
        <v>498542</v>
      </c>
      <c r="I1499" s="497">
        <v>514407</v>
      </c>
      <c r="J1499" s="497">
        <f t="shared" si="136"/>
        <v>-15699</v>
      </c>
      <c r="K1499" s="956">
        <f t="shared" si="137"/>
        <v>-2.9614831750631006E-2</v>
      </c>
      <c r="L1499" s="497">
        <f t="shared" si="138"/>
        <v>15865</v>
      </c>
      <c r="M1499" s="956">
        <f t="shared" si="139"/>
        <v>3.1822795271010264E-2</v>
      </c>
    </row>
    <row r="1500" spans="1:13" x14ac:dyDescent="0.2">
      <c r="A1500" s="459"/>
      <c r="B1500" s="459"/>
      <c r="C1500" s="292" t="s">
        <v>744</v>
      </c>
      <c r="D1500" s="118">
        <v>530106</v>
      </c>
      <c r="E1500" s="118"/>
      <c r="F1500" s="477">
        <v>-19564</v>
      </c>
      <c r="G1500" s="566">
        <v>-12000</v>
      </c>
      <c r="H1500" s="477">
        <f t="shared" si="140"/>
        <v>498542</v>
      </c>
      <c r="I1500" s="477">
        <v>514407</v>
      </c>
      <c r="J1500" s="477">
        <f t="shared" si="136"/>
        <v>-15699</v>
      </c>
      <c r="K1500" s="909">
        <f t="shared" si="137"/>
        <v>-2.9614831750631006E-2</v>
      </c>
      <c r="L1500" s="477">
        <f t="shared" si="138"/>
        <v>15865</v>
      </c>
      <c r="M1500" s="909">
        <f t="shared" si="139"/>
        <v>3.1822795271010264E-2</v>
      </c>
    </row>
    <row r="1501" spans="1:13" s="56" customFormat="1" x14ac:dyDescent="0.2">
      <c r="A1501" s="459"/>
      <c r="B1501" s="459"/>
      <c r="C1501" s="98" t="s">
        <v>119</v>
      </c>
      <c r="D1501" s="489">
        <v>224580</v>
      </c>
      <c r="E1501" s="145"/>
      <c r="F1501" s="489">
        <v>7800</v>
      </c>
      <c r="G1501" s="567"/>
      <c r="H1501" s="489">
        <f t="shared" si="140"/>
        <v>232380</v>
      </c>
      <c r="I1501" s="489">
        <v>232380</v>
      </c>
      <c r="J1501" s="489">
        <f t="shared" si="136"/>
        <v>7800</v>
      </c>
      <c r="K1501" s="869">
        <f t="shared" si="137"/>
        <v>3.4731498797755812E-2</v>
      </c>
      <c r="L1501" s="489">
        <f t="shared" si="138"/>
        <v>0</v>
      </c>
      <c r="M1501" s="869">
        <f t="shared" si="139"/>
        <v>0</v>
      </c>
    </row>
    <row r="1502" spans="1:13" x14ac:dyDescent="0.2">
      <c r="A1502" s="459"/>
      <c r="B1502" s="459"/>
      <c r="C1502" s="448"/>
      <c r="D1502" s="444"/>
      <c r="E1502" s="444"/>
      <c r="F1502" s="444">
        <v>0</v>
      </c>
      <c r="G1502" s="678">
        <v>0</v>
      </c>
      <c r="H1502" s="444">
        <f t="shared" si="140"/>
        <v>0</v>
      </c>
      <c r="I1502" s="444">
        <v>0</v>
      </c>
      <c r="J1502" s="444">
        <f t="shared" si="136"/>
        <v>0</v>
      </c>
      <c r="K1502" s="961"/>
      <c r="L1502" s="444">
        <f t="shared" si="138"/>
        <v>0</v>
      </c>
      <c r="M1502" s="961"/>
    </row>
    <row r="1503" spans="1:13" ht="15" x14ac:dyDescent="0.2">
      <c r="A1503" s="459" t="s">
        <v>865</v>
      </c>
      <c r="B1503" s="459" t="s">
        <v>279</v>
      </c>
      <c r="C1503" s="417" t="s">
        <v>200</v>
      </c>
      <c r="D1503" s="220">
        <f>D1504</f>
        <v>128141</v>
      </c>
      <c r="E1503" s="220"/>
      <c r="F1503" s="220">
        <v>0</v>
      </c>
      <c r="G1503" s="654">
        <v>0</v>
      </c>
      <c r="H1503" s="220">
        <f t="shared" si="140"/>
        <v>128141</v>
      </c>
      <c r="I1503" s="220">
        <v>131000</v>
      </c>
      <c r="J1503" s="220">
        <f t="shared" si="136"/>
        <v>2859</v>
      </c>
      <c r="K1503" s="959">
        <f t="shared" si="137"/>
        <v>2.2311360142343199E-2</v>
      </c>
      <c r="L1503" s="220">
        <f t="shared" si="138"/>
        <v>2859</v>
      </c>
      <c r="M1503" s="959">
        <f t="shared" si="139"/>
        <v>2.2311360142343199E-2</v>
      </c>
    </row>
    <row r="1504" spans="1:13" x14ac:dyDescent="0.2">
      <c r="C1504" s="301" t="s">
        <v>201</v>
      </c>
      <c r="D1504" s="193">
        <f>D1506</f>
        <v>128141</v>
      </c>
      <c r="E1504" s="193"/>
      <c r="F1504" s="481">
        <v>0</v>
      </c>
      <c r="G1504" s="655">
        <v>0</v>
      </c>
      <c r="H1504" s="481">
        <f t="shared" si="140"/>
        <v>128141</v>
      </c>
      <c r="I1504" s="481">
        <v>131000</v>
      </c>
      <c r="J1504" s="481">
        <f t="shared" si="136"/>
        <v>2859</v>
      </c>
      <c r="K1504" s="923">
        <f t="shared" si="137"/>
        <v>2.2311360142343199E-2</v>
      </c>
      <c r="L1504" s="481">
        <f t="shared" si="138"/>
        <v>2859</v>
      </c>
      <c r="M1504" s="923">
        <f t="shared" si="139"/>
        <v>2.2311360142343199E-2</v>
      </c>
    </row>
    <row r="1505" spans="1:13" x14ac:dyDescent="0.2">
      <c r="C1505" s="404" t="s">
        <v>196</v>
      </c>
      <c r="D1505" s="193"/>
      <c r="E1505" s="193"/>
      <c r="F1505" s="481">
        <v>0</v>
      </c>
      <c r="G1505" s="655">
        <v>0</v>
      </c>
      <c r="H1505" s="481">
        <f t="shared" si="140"/>
        <v>0</v>
      </c>
      <c r="I1505" s="481">
        <v>0</v>
      </c>
      <c r="J1505" s="481">
        <f t="shared" si="136"/>
        <v>0</v>
      </c>
      <c r="K1505" s="923"/>
      <c r="L1505" s="481">
        <f t="shared" si="138"/>
        <v>0</v>
      </c>
      <c r="M1505" s="923"/>
    </row>
    <row r="1506" spans="1:13" ht="24" x14ac:dyDescent="0.2">
      <c r="C1506" s="106" t="s">
        <v>745</v>
      </c>
      <c r="D1506" s="194">
        <v>128141</v>
      </c>
      <c r="E1506" s="194"/>
      <c r="F1506" s="194">
        <v>0</v>
      </c>
      <c r="G1506" s="194">
        <v>0</v>
      </c>
      <c r="H1506" s="194">
        <f t="shared" si="140"/>
        <v>128141</v>
      </c>
      <c r="I1506" s="194">
        <v>131000</v>
      </c>
      <c r="J1506" s="194">
        <f t="shared" si="136"/>
        <v>2859</v>
      </c>
      <c r="K1506" s="887">
        <f t="shared" si="137"/>
        <v>2.2311360142343199E-2</v>
      </c>
      <c r="L1506" s="194">
        <f t="shared" si="138"/>
        <v>2859</v>
      </c>
      <c r="M1506" s="887">
        <f t="shared" si="139"/>
        <v>2.2311360142343199E-2</v>
      </c>
    </row>
    <row r="1507" spans="1:13" s="56" customFormat="1" x14ac:dyDescent="0.2">
      <c r="A1507" s="503"/>
      <c r="B1507" s="503"/>
      <c r="C1507" s="405" t="s">
        <v>119</v>
      </c>
      <c r="D1507" s="495">
        <v>70583</v>
      </c>
      <c r="E1507" s="196"/>
      <c r="F1507" s="495">
        <v>0</v>
      </c>
      <c r="G1507" s="568">
        <v>0</v>
      </c>
      <c r="H1507" s="495">
        <f t="shared" si="140"/>
        <v>70583</v>
      </c>
      <c r="I1507" s="495">
        <v>70583</v>
      </c>
      <c r="J1507" s="495">
        <f t="shared" si="136"/>
        <v>0</v>
      </c>
      <c r="K1507" s="888">
        <f t="shared" si="137"/>
        <v>0</v>
      </c>
      <c r="L1507" s="495">
        <f t="shared" si="138"/>
        <v>0</v>
      </c>
      <c r="M1507" s="888">
        <f t="shared" si="139"/>
        <v>0</v>
      </c>
    </row>
    <row r="1508" spans="1:13" x14ac:dyDescent="0.2">
      <c r="C1508" s="357"/>
      <c r="D1508" s="195"/>
      <c r="E1508" s="195"/>
      <c r="F1508" s="195">
        <v>0</v>
      </c>
      <c r="G1508" s="659">
        <v>0</v>
      </c>
      <c r="H1508" s="195">
        <f t="shared" si="140"/>
        <v>0</v>
      </c>
      <c r="I1508" s="195">
        <v>0</v>
      </c>
      <c r="J1508" s="195">
        <f t="shared" si="136"/>
        <v>0</v>
      </c>
      <c r="K1508" s="922"/>
      <c r="L1508" s="195">
        <f t="shared" si="138"/>
        <v>0</v>
      </c>
      <c r="M1508" s="922"/>
    </row>
    <row r="1509" spans="1:13" ht="15" x14ac:dyDescent="0.2">
      <c r="A1509" s="459" t="s">
        <v>866</v>
      </c>
      <c r="B1509" s="459" t="s">
        <v>279</v>
      </c>
      <c r="C1509" s="402" t="s">
        <v>203</v>
      </c>
      <c r="D1509" s="212">
        <f>D1511</f>
        <v>947528</v>
      </c>
      <c r="E1509" s="497">
        <v>18288</v>
      </c>
      <c r="F1509" s="497">
        <f>F1511</f>
        <v>1352</v>
      </c>
      <c r="G1509" s="669">
        <f>G1511</f>
        <v>0</v>
      </c>
      <c r="H1509" s="497">
        <f t="shared" si="140"/>
        <v>967168</v>
      </c>
      <c r="I1509" s="497">
        <v>970826</v>
      </c>
      <c r="J1509" s="497">
        <f t="shared" si="136"/>
        <v>23298</v>
      </c>
      <c r="K1509" s="956">
        <f t="shared" si="137"/>
        <v>2.4588191589061219E-2</v>
      </c>
      <c r="L1509" s="497">
        <f t="shared" si="138"/>
        <v>3658</v>
      </c>
      <c r="M1509" s="956">
        <f t="shared" si="139"/>
        <v>3.7821764160931711E-3</v>
      </c>
    </row>
    <row r="1510" spans="1:13" x14ac:dyDescent="0.2">
      <c r="C1510" s="420"/>
      <c r="D1510" s="177"/>
      <c r="E1510" s="501"/>
      <c r="F1510" s="501"/>
      <c r="G1510" s="676"/>
      <c r="H1510" s="501">
        <f t="shared" si="140"/>
        <v>0</v>
      </c>
      <c r="I1510" s="501">
        <v>0</v>
      </c>
      <c r="J1510" s="501">
        <f t="shared" si="136"/>
        <v>0</v>
      </c>
      <c r="K1510" s="528"/>
      <c r="L1510" s="501">
        <f t="shared" si="138"/>
        <v>0</v>
      </c>
      <c r="M1510" s="528"/>
    </row>
    <row r="1511" spans="1:13" ht="25.5" x14ac:dyDescent="0.2">
      <c r="C1511" s="407" t="s">
        <v>271</v>
      </c>
      <c r="D1511" s="185">
        <f>D1513+D1517</f>
        <v>947528</v>
      </c>
      <c r="E1511" s="494">
        <v>18288</v>
      </c>
      <c r="F1511" s="494">
        <f>F1513+F1517</f>
        <v>1352</v>
      </c>
      <c r="G1511" s="652">
        <f>G1513+G1517</f>
        <v>0</v>
      </c>
      <c r="H1511" s="494">
        <f t="shared" si="140"/>
        <v>967168</v>
      </c>
      <c r="I1511" s="494">
        <v>970826</v>
      </c>
      <c r="J1511" s="494">
        <f t="shared" si="136"/>
        <v>23298</v>
      </c>
      <c r="K1511" s="945">
        <f t="shared" si="137"/>
        <v>2.4588191589061219E-2</v>
      </c>
      <c r="L1511" s="494">
        <f t="shared" si="138"/>
        <v>3658</v>
      </c>
      <c r="M1511" s="945">
        <f t="shared" si="139"/>
        <v>3.7821764160931711E-3</v>
      </c>
    </row>
    <row r="1512" spans="1:13" x14ac:dyDescent="0.2">
      <c r="C1512" s="408" t="s">
        <v>196</v>
      </c>
      <c r="D1512" s="170"/>
      <c r="E1512" s="488"/>
      <c r="F1512" s="488">
        <v>0</v>
      </c>
      <c r="G1512" s="570">
        <v>0</v>
      </c>
      <c r="H1512" s="488">
        <f t="shared" si="140"/>
        <v>0</v>
      </c>
      <c r="I1512" s="488">
        <v>0</v>
      </c>
      <c r="J1512" s="488">
        <f t="shared" si="136"/>
        <v>0</v>
      </c>
      <c r="K1512" s="865"/>
      <c r="L1512" s="488">
        <f t="shared" si="138"/>
        <v>0</v>
      </c>
      <c r="M1512" s="865"/>
    </row>
    <row r="1513" spans="1:13" x14ac:dyDescent="0.2">
      <c r="C1513" s="378" t="s">
        <v>746</v>
      </c>
      <c r="D1513" s="202">
        <v>333274</v>
      </c>
      <c r="E1513" s="493">
        <v>6278</v>
      </c>
      <c r="F1513" s="493">
        <v>0</v>
      </c>
      <c r="G1513" s="601">
        <v>0</v>
      </c>
      <c r="H1513" s="493">
        <f t="shared" si="140"/>
        <v>339552</v>
      </c>
      <c r="I1513" s="493">
        <v>340808</v>
      </c>
      <c r="J1513" s="493">
        <f t="shared" si="136"/>
        <v>7534</v>
      </c>
      <c r="K1513" s="868">
        <f t="shared" si="137"/>
        <v>2.2606023872249262E-2</v>
      </c>
      <c r="L1513" s="493">
        <f t="shared" si="138"/>
        <v>1256</v>
      </c>
      <c r="M1513" s="868">
        <f t="shared" si="139"/>
        <v>3.6989916124776177E-3</v>
      </c>
    </row>
    <row r="1514" spans="1:13" s="56" customFormat="1" x14ac:dyDescent="0.2">
      <c r="A1514" s="503"/>
      <c r="B1514" s="503"/>
      <c r="C1514" s="103" t="s">
        <v>119</v>
      </c>
      <c r="D1514" s="489">
        <v>180501</v>
      </c>
      <c r="E1514" s="489">
        <v>4692</v>
      </c>
      <c r="F1514" s="489">
        <v>0</v>
      </c>
      <c r="G1514" s="567">
        <v>0</v>
      </c>
      <c r="H1514" s="489">
        <f t="shared" si="140"/>
        <v>185193</v>
      </c>
      <c r="I1514" s="489">
        <v>186131</v>
      </c>
      <c r="J1514" s="489">
        <f t="shared" si="136"/>
        <v>5630</v>
      </c>
      <c r="K1514" s="869">
        <f t="shared" si="137"/>
        <v>3.1190962930953293E-2</v>
      </c>
      <c r="L1514" s="489">
        <f t="shared" si="138"/>
        <v>938</v>
      </c>
      <c r="M1514" s="869">
        <f t="shared" si="139"/>
        <v>5.0649862575799301E-3</v>
      </c>
    </row>
    <row r="1515" spans="1:13" x14ac:dyDescent="0.2">
      <c r="C1515" s="282"/>
      <c r="D1515" s="445"/>
      <c r="E1515" s="490"/>
      <c r="F1515" s="445">
        <v>0</v>
      </c>
      <c r="G1515" s="671">
        <v>0</v>
      </c>
      <c r="H1515" s="445">
        <f t="shared" si="140"/>
        <v>0</v>
      </c>
      <c r="I1515" s="445">
        <v>0</v>
      </c>
      <c r="J1515" s="445">
        <f t="shared" si="136"/>
        <v>0</v>
      </c>
      <c r="K1515" s="958"/>
      <c r="L1515" s="445">
        <f t="shared" si="138"/>
        <v>0</v>
      </c>
      <c r="M1515" s="958"/>
    </row>
    <row r="1516" spans="1:13" x14ac:dyDescent="0.2">
      <c r="C1516" s="408" t="s">
        <v>196</v>
      </c>
      <c r="D1516" s="170"/>
      <c r="E1516" s="488"/>
      <c r="F1516" s="488">
        <v>0</v>
      </c>
      <c r="G1516" s="570">
        <v>0</v>
      </c>
      <c r="H1516" s="488">
        <f t="shared" si="140"/>
        <v>0</v>
      </c>
      <c r="I1516" s="488">
        <v>0</v>
      </c>
      <c r="J1516" s="488">
        <f t="shared" si="136"/>
        <v>0</v>
      </c>
      <c r="K1516" s="865"/>
      <c r="L1516" s="488">
        <f t="shared" si="138"/>
        <v>0</v>
      </c>
      <c r="M1516" s="865"/>
    </row>
    <row r="1517" spans="1:13" x14ac:dyDescent="0.2">
      <c r="C1517" s="378" t="s">
        <v>747</v>
      </c>
      <c r="D1517" s="202">
        <v>614254</v>
      </c>
      <c r="E1517" s="493">
        <v>12010</v>
      </c>
      <c r="F1517" s="493">
        <v>1352</v>
      </c>
      <c r="G1517" s="601"/>
      <c r="H1517" s="493">
        <f t="shared" si="140"/>
        <v>627616</v>
      </c>
      <c r="I1517" s="493">
        <v>630018</v>
      </c>
      <c r="J1517" s="493">
        <f t="shared" si="136"/>
        <v>15764</v>
      </c>
      <c r="K1517" s="868">
        <f t="shared" si="137"/>
        <v>2.5663650541958214E-2</v>
      </c>
      <c r="L1517" s="493">
        <f t="shared" si="138"/>
        <v>2402</v>
      </c>
      <c r="M1517" s="868">
        <f t="shared" si="139"/>
        <v>3.8271809514097794E-3</v>
      </c>
    </row>
    <row r="1518" spans="1:13" s="56" customFormat="1" x14ac:dyDescent="0.2">
      <c r="A1518" s="503"/>
      <c r="B1518" s="503"/>
      <c r="C1518" s="103" t="s">
        <v>119</v>
      </c>
      <c r="D1518" s="489">
        <v>443109</v>
      </c>
      <c r="E1518" s="489">
        <v>8976</v>
      </c>
      <c r="F1518" s="489">
        <v>0</v>
      </c>
      <c r="G1518" s="567">
        <v>0</v>
      </c>
      <c r="H1518" s="489">
        <f t="shared" si="140"/>
        <v>452085</v>
      </c>
      <c r="I1518" s="489">
        <v>453880</v>
      </c>
      <c r="J1518" s="489">
        <f t="shared" si="136"/>
        <v>10771</v>
      </c>
      <c r="K1518" s="869">
        <f t="shared" si="137"/>
        <v>2.4307788828482384E-2</v>
      </c>
      <c r="L1518" s="489">
        <f t="shared" si="138"/>
        <v>1795</v>
      </c>
      <c r="M1518" s="869">
        <f t="shared" si="139"/>
        <v>3.970492274682858E-3</v>
      </c>
    </row>
    <row r="1519" spans="1:13" x14ac:dyDescent="0.2">
      <c r="C1519" s="369"/>
      <c r="D1519" s="194"/>
      <c r="E1519" s="194"/>
      <c r="F1519" s="194">
        <v>0</v>
      </c>
      <c r="G1519" s="194">
        <v>0</v>
      </c>
      <c r="H1519" s="194">
        <f t="shared" si="140"/>
        <v>0</v>
      </c>
      <c r="I1519" s="194">
        <v>0</v>
      </c>
      <c r="J1519" s="194">
        <f t="shared" si="136"/>
        <v>0</v>
      </c>
      <c r="K1519" s="887"/>
      <c r="L1519" s="194">
        <f t="shared" si="138"/>
        <v>0</v>
      </c>
      <c r="M1519" s="887"/>
    </row>
    <row r="1520" spans="1:13" ht="15" x14ac:dyDescent="0.2">
      <c r="A1520" s="459" t="s">
        <v>870</v>
      </c>
      <c r="B1520" s="459" t="s">
        <v>279</v>
      </c>
      <c r="C1520" s="402" t="s">
        <v>267</v>
      </c>
      <c r="D1520" s="212">
        <f>D1521</f>
        <v>389480</v>
      </c>
      <c r="E1520" s="212"/>
      <c r="F1520" s="497">
        <v>0</v>
      </c>
      <c r="G1520" s="669">
        <v>0</v>
      </c>
      <c r="H1520" s="497">
        <f t="shared" si="140"/>
        <v>389480</v>
      </c>
      <c r="I1520" s="497">
        <v>449480</v>
      </c>
      <c r="J1520" s="497">
        <f t="shared" si="136"/>
        <v>60000</v>
      </c>
      <c r="K1520" s="956">
        <f t="shared" si="137"/>
        <v>0.15405155592071479</v>
      </c>
      <c r="L1520" s="497">
        <f t="shared" si="138"/>
        <v>60000</v>
      </c>
      <c r="M1520" s="956">
        <f t="shared" si="139"/>
        <v>0.15405155592071479</v>
      </c>
    </row>
    <row r="1521" spans="1:13" x14ac:dyDescent="0.2">
      <c r="C1521" s="292" t="s">
        <v>268</v>
      </c>
      <c r="D1521" s="118">
        <v>389480</v>
      </c>
      <c r="E1521" s="118"/>
      <c r="F1521" s="477">
        <v>0</v>
      </c>
      <c r="G1521" s="566">
        <v>0</v>
      </c>
      <c r="H1521" s="477">
        <f t="shared" si="140"/>
        <v>389480</v>
      </c>
      <c r="I1521" s="477">
        <v>449480</v>
      </c>
      <c r="J1521" s="477">
        <f t="shared" si="136"/>
        <v>60000</v>
      </c>
      <c r="K1521" s="909">
        <f t="shared" si="137"/>
        <v>0.15405155592071479</v>
      </c>
      <c r="L1521" s="477">
        <f t="shared" si="138"/>
        <v>60000</v>
      </c>
      <c r="M1521" s="909">
        <f t="shared" si="139"/>
        <v>0.15405155592071479</v>
      </c>
    </row>
    <row r="1522" spans="1:13" x14ac:dyDescent="0.2">
      <c r="C1522" s="95"/>
      <c r="D1522" s="182"/>
      <c r="E1522" s="182"/>
      <c r="F1522" s="491">
        <v>0</v>
      </c>
      <c r="G1522" s="571">
        <v>0</v>
      </c>
      <c r="H1522" s="491">
        <f t="shared" si="140"/>
        <v>0</v>
      </c>
      <c r="I1522" s="491">
        <v>0</v>
      </c>
      <c r="J1522" s="491">
        <f t="shared" si="136"/>
        <v>0</v>
      </c>
      <c r="K1522" s="866"/>
      <c r="L1522" s="491">
        <f t="shared" si="138"/>
        <v>0</v>
      </c>
      <c r="M1522" s="866"/>
    </row>
    <row r="1523" spans="1:13" x14ac:dyDescent="0.2">
      <c r="C1523" s="117" t="s">
        <v>197</v>
      </c>
      <c r="D1523" s="200">
        <f>D1525+D1528+D1539+D1541+D1546+D1548+D1544+D1537+D1532</f>
        <v>2338387</v>
      </c>
      <c r="E1523" s="499">
        <f>E1525+E1528+E1539+E1541+E1546+E1548+E1544+E1537+E1532</f>
        <v>38964</v>
      </c>
      <c r="F1523" s="499">
        <f>F1525+F1528+F1539+F1541+F1546+F1548+F1544+F1537+F1532</f>
        <v>37662</v>
      </c>
      <c r="G1523" s="657">
        <f>G1525+G1528+G1539+G1541+G1546+G1548+G1544+G1537+G1532</f>
        <v>5843</v>
      </c>
      <c r="H1523" s="499">
        <f t="shared" si="140"/>
        <v>2420856</v>
      </c>
      <c r="I1523" s="499">
        <v>2645962</v>
      </c>
      <c r="J1523" s="499">
        <f t="shared" si="136"/>
        <v>307575</v>
      </c>
      <c r="K1523" s="948">
        <f t="shared" si="137"/>
        <v>0.13153297550833118</v>
      </c>
      <c r="L1523" s="499">
        <f t="shared" si="138"/>
        <v>225106</v>
      </c>
      <c r="M1523" s="948">
        <f t="shared" si="139"/>
        <v>9.2986117307266525E-2</v>
      </c>
    </row>
    <row r="1524" spans="1:13" x14ac:dyDescent="0.2">
      <c r="C1524" s="117"/>
      <c r="D1524" s="200"/>
      <c r="E1524" s="200"/>
      <c r="F1524" s="499">
        <v>0</v>
      </c>
      <c r="G1524" s="657">
        <v>0</v>
      </c>
      <c r="H1524" s="499">
        <f t="shared" si="140"/>
        <v>0</v>
      </c>
      <c r="I1524" s="499">
        <v>0</v>
      </c>
      <c r="J1524" s="499">
        <f t="shared" si="136"/>
        <v>0</v>
      </c>
      <c r="K1524" s="948"/>
      <c r="L1524" s="499">
        <f t="shared" si="138"/>
        <v>0</v>
      </c>
      <c r="M1524" s="948"/>
    </row>
    <row r="1525" spans="1:13" x14ac:dyDescent="0.2">
      <c r="A1525" s="459" t="s">
        <v>862</v>
      </c>
      <c r="B1525" s="459" t="s">
        <v>279</v>
      </c>
      <c r="C1525" s="307" t="s">
        <v>272</v>
      </c>
      <c r="D1525" s="202">
        <v>1850571</v>
      </c>
      <c r="E1525" s="493">
        <v>38964</v>
      </c>
      <c r="F1525" s="493">
        <v>37662</v>
      </c>
      <c r="G1525" s="601">
        <v>-21138</v>
      </c>
      <c r="H1525" s="601">
        <f t="shared" si="140"/>
        <v>1906059</v>
      </c>
      <c r="I1525" s="601">
        <v>2041552</v>
      </c>
      <c r="J1525" s="601">
        <f t="shared" si="136"/>
        <v>190981</v>
      </c>
      <c r="K1525" s="757">
        <f t="shared" si="137"/>
        <v>0.10320112008671918</v>
      </c>
      <c r="L1525" s="601">
        <f t="shared" si="138"/>
        <v>135493</v>
      </c>
      <c r="M1525" s="757">
        <f t="shared" si="139"/>
        <v>7.1085417607744561E-2</v>
      </c>
    </row>
    <row r="1526" spans="1:13" x14ac:dyDescent="0.2">
      <c r="A1526" s="459"/>
      <c r="B1526" s="459"/>
      <c r="C1526" s="308" t="s">
        <v>119</v>
      </c>
      <c r="D1526" s="489">
        <v>1033777</v>
      </c>
      <c r="E1526" s="489">
        <v>29121</v>
      </c>
      <c r="F1526" s="489">
        <v>27752</v>
      </c>
      <c r="G1526" s="781">
        <v>-17533</v>
      </c>
      <c r="H1526" s="567">
        <f t="shared" si="140"/>
        <v>1073117</v>
      </c>
      <c r="I1526" s="567">
        <v>1162592</v>
      </c>
      <c r="J1526" s="567">
        <f t="shared" si="136"/>
        <v>128815</v>
      </c>
      <c r="K1526" s="878">
        <f t="shared" si="137"/>
        <v>0.12460617715426055</v>
      </c>
      <c r="L1526" s="567">
        <f t="shared" si="138"/>
        <v>89475</v>
      </c>
      <c r="M1526" s="878">
        <f t="shared" si="139"/>
        <v>8.337860643340847E-2</v>
      </c>
    </row>
    <row r="1527" spans="1:13" x14ac:dyDescent="0.2">
      <c r="A1527" s="459"/>
      <c r="B1527" s="459"/>
      <c r="C1527" s="104"/>
      <c r="D1527" s="172"/>
      <c r="E1527" s="172"/>
      <c r="F1527" s="172">
        <v>0</v>
      </c>
      <c r="G1527" s="574">
        <v>0</v>
      </c>
      <c r="H1527" s="574">
        <f t="shared" si="140"/>
        <v>0</v>
      </c>
      <c r="I1527" s="574">
        <v>0</v>
      </c>
      <c r="J1527" s="574">
        <f t="shared" si="136"/>
        <v>0</v>
      </c>
      <c r="K1527" s="757"/>
      <c r="L1527" s="574">
        <f t="shared" si="138"/>
        <v>0</v>
      </c>
      <c r="M1527" s="757"/>
    </row>
    <row r="1528" spans="1:13" x14ac:dyDescent="0.2">
      <c r="A1528" s="459" t="s">
        <v>864</v>
      </c>
      <c r="B1528" s="459" t="s">
        <v>279</v>
      </c>
      <c r="C1528" s="410" t="s">
        <v>510</v>
      </c>
      <c r="D1528" s="213">
        <f>68400+7200</f>
        <v>75600</v>
      </c>
      <c r="E1528" s="213"/>
      <c r="F1528" s="213">
        <v>0</v>
      </c>
      <c r="G1528" s="613">
        <v>34200</v>
      </c>
      <c r="H1528" s="613">
        <f t="shared" si="140"/>
        <v>109800</v>
      </c>
      <c r="I1528" s="613">
        <v>150600</v>
      </c>
      <c r="J1528" s="613">
        <f t="shared" ref="J1528:J1591" si="141">I1528-D1528</f>
        <v>75000</v>
      </c>
      <c r="K1528" s="825">
        <f t="shared" ref="K1528:K1590" si="142">J1528/D1528</f>
        <v>0.99206349206349209</v>
      </c>
      <c r="L1528" s="613">
        <f t="shared" ref="L1528:L1591" si="143">I1528-H1528</f>
        <v>40800</v>
      </c>
      <c r="M1528" s="825">
        <f t="shared" ref="M1528:M1590" si="144">L1528/H1528</f>
        <v>0.37158469945355194</v>
      </c>
    </row>
    <row r="1529" spans="1:13" x14ac:dyDescent="0.2">
      <c r="C1529" s="308" t="s">
        <v>416</v>
      </c>
      <c r="D1529" s="145">
        <v>500</v>
      </c>
      <c r="E1529" s="145"/>
      <c r="F1529" s="489">
        <v>-150</v>
      </c>
      <c r="G1529" s="567"/>
      <c r="H1529" s="567">
        <f t="shared" si="140"/>
        <v>350</v>
      </c>
      <c r="I1529" s="567">
        <v>350</v>
      </c>
      <c r="J1529" s="567">
        <f t="shared" si="141"/>
        <v>-150</v>
      </c>
      <c r="K1529" s="878">
        <f t="shared" si="142"/>
        <v>-0.3</v>
      </c>
      <c r="L1529" s="567">
        <f t="shared" si="143"/>
        <v>0</v>
      </c>
      <c r="M1529" s="878">
        <f t="shared" si="144"/>
        <v>0</v>
      </c>
    </row>
    <row r="1530" spans="1:13" x14ac:dyDescent="0.2">
      <c r="C1530" s="103" t="s">
        <v>528</v>
      </c>
      <c r="D1530" s="145">
        <v>5000</v>
      </c>
      <c r="E1530" s="145"/>
      <c r="F1530" s="489">
        <v>0</v>
      </c>
      <c r="G1530" s="567">
        <v>-5000</v>
      </c>
      <c r="H1530" s="567">
        <f t="shared" si="140"/>
        <v>0</v>
      </c>
      <c r="I1530" s="567">
        <v>5000</v>
      </c>
      <c r="J1530" s="567">
        <f t="shared" si="141"/>
        <v>0</v>
      </c>
      <c r="K1530" s="878">
        <f t="shared" si="142"/>
        <v>0</v>
      </c>
      <c r="L1530" s="567">
        <f t="shared" si="143"/>
        <v>5000</v>
      </c>
      <c r="M1530" s="878"/>
    </row>
    <row r="1531" spans="1:13" x14ac:dyDescent="0.2">
      <c r="C1531" s="338"/>
      <c r="D1531" s="179"/>
      <c r="E1531" s="179"/>
      <c r="F1531" s="179">
        <v>0</v>
      </c>
      <c r="G1531" s="577">
        <v>0</v>
      </c>
      <c r="H1531" s="577">
        <f t="shared" si="140"/>
        <v>0</v>
      </c>
      <c r="I1531" s="577">
        <v>0</v>
      </c>
      <c r="J1531" s="577">
        <f t="shared" si="141"/>
        <v>0</v>
      </c>
      <c r="K1531" s="757"/>
      <c r="L1531" s="577">
        <f t="shared" si="143"/>
        <v>0</v>
      </c>
      <c r="M1531" s="757"/>
    </row>
    <row r="1532" spans="1:13" s="486" customFormat="1" x14ac:dyDescent="0.2">
      <c r="A1532" s="459" t="s">
        <v>864</v>
      </c>
      <c r="B1532" s="459" t="s">
        <v>279</v>
      </c>
      <c r="C1532" s="338" t="s">
        <v>238</v>
      </c>
      <c r="D1532" s="179">
        <v>4500</v>
      </c>
      <c r="E1532" s="179"/>
      <c r="F1532" s="179">
        <v>0</v>
      </c>
      <c r="G1532" s="577">
        <v>-4200</v>
      </c>
      <c r="H1532" s="577">
        <f t="shared" si="140"/>
        <v>300</v>
      </c>
      <c r="I1532" s="577">
        <v>4500</v>
      </c>
      <c r="J1532" s="577">
        <f t="shared" si="141"/>
        <v>0</v>
      </c>
      <c r="K1532" s="757">
        <f t="shared" si="142"/>
        <v>0</v>
      </c>
      <c r="L1532" s="577">
        <f t="shared" si="143"/>
        <v>4200</v>
      </c>
      <c r="M1532" s="757">
        <f t="shared" si="144"/>
        <v>14</v>
      </c>
    </row>
    <row r="1533" spans="1:13" x14ac:dyDescent="0.2">
      <c r="A1533" s="459"/>
      <c r="B1533" s="459"/>
      <c r="C1533" s="338"/>
      <c r="D1533" s="179"/>
      <c r="E1533" s="179"/>
      <c r="F1533" s="179"/>
      <c r="G1533" s="577"/>
      <c r="H1533" s="577">
        <f t="shared" ref="H1533:H1597" si="145">D1533+E1533+F1533+G1533</f>
        <v>0</v>
      </c>
      <c r="I1533" s="577">
        <v>0</v>
      </c>
      <c r="J1533" s="577">
        <f t="shared" si="141"/>
        <v>0</v>
      </c>
      <c r="K1533" s="757"/>
      <c r="L1533" s="577">
        <f t="shared" si="143"/>
        <v>0</v>
      </c>
      <c r="M1533" s="757"/>
    </row>
    <row r="1534" spans="1:13" x14ac:dyDescent="0.2">
      <c r="A1534" s="459" t="s">
        <v>850</v>
      </c>
      <c r="B1534" s="459" t="s">
        <v>279</v>
      </c>
      <c r="C1534" s="978" t="s">
        <v>1057</v>
      </c>
      <c r="D1534" s="179"/>
      <c r="E1534" s="179"/>
      <c r="F1534" s="179"/>
      <c r="G1534" s="577"/>
      <c r="H1534" s="577"/>
      <c r="I1534" s="577">
        <v>38693</v>
      </c>
      <c r="J1534" s="577"/>
      <c r="K1534" s="757"/>
      <c r="L1534" s="577"/>
      <c r="M1534" s="757"/>
    </row>
    <row r="1535" spans="1:13" x14ac:dyDescent="0.2">
      <c r="A1535" s="459"/>
      <c r="B1535" s="459"/>
      <c r="C1535" s="980" t="s">
        <v>119</v>
      </c>
      <c r="D1535" s="179"/>
      <c r="E1535" s="179"/>
      <c r="F1535" s="179"/>
      <c r="G1535" s="577"/>
      <c r="H1535" s="577"/>
      <c r="I1535" s="577">
        <v>17334</v>
      </c>
      <c r="J1535" s="577"/>
      <c r="K1535" s="757"/>
      <c r="L1535" s="577"/>
      <c r="M1535" s="757"/>
    </row>
    <row r="1536" spans="1:13" x14ac:dyDescent="0.2">
      <c r="A1536" s="459"/>
      <c r="B1536" s="459"/>
      <c r="C1536" s="338"/>
      <c r="D1536" s="179"/>
      <c r="E1536" s="179"/>
      <c r="F1536" s="179"/>
      <c r="G1536" s="577"/>
      <c r="H1536" s="577"/>
      <c r="I1536" s="577"/>
      <c r="J1536" s="577"/>
      <c r="K1536" s="757"/>
      <c r="L1536" s="577"/>
      <c r="M1536" s="757"/>
    </row>
    <row r="1537" spans="1:13" x14ac:dyDescent="0.2">
      <c r="A1537" s="459" t="s">
        <v>866</v>
      </c>
      <c r="B1537" s="459" t="s">
        <v>279</v>
      </c>
      <c r="C1537" s="410" t="s">
        <v>273</v>
      </c>
      <c r="D1537" s="213">
        <v>57000</v>
      </c>
      <c r="E1537" s="213"/>
      <c r="F1537" s="213">
        <v>0</v>
      </c>
      <c r="G1537" s="613">
        <v>0</v>
      </c>
      <c r="H1537" s="613">
        <f t="shared" si="145"/>
        <v>57000</v>
      </c>
      <c r="I1537" s="613">
        <v>57000</v>
      </c>
      <c r="J1537" s="613">
        <f t="shared" si="141"/>
        <v>0</v>
      </c>
      <c r="K1537" s="825">
        <f t="shared" si="142"/>
        <v>0</v>
      </c>
      <c r="L1537" s="613">
        <f t="shared" si="143"/>
        <v>0</v>
      </c>
      <c r="M1537" s="825">
        <f t="shared" si="144"/>
        <v>0</v>
      </c>
    </row>
    <row r="1538" spans="1:13" x14ac:dyDescent="0.2">
      <c r="A1538" s="459"/>
      <c r="B1538" s="459"/>
      <c r="C1538" s="338"/>
      <c r="D1538" s="179"/>
      <c r="E1538" s="179"/>
      <c r="F1538" s="179">
        <v>0</v>
      </c>
      <c r="G1538" s="577">
        <v>0</v>
      </c>
      <c r="H1538" s="577">
        <f t="shared" si="145"/>
        <v>0</v>
      </c>
      <c r="I1538" s="577">
        <v>0</v>
      </c>
      <c r="J1538" s="577">
        <f t="shared" si="141"/>
        <v>0</v>
      </c>
      <c r="K1538" s="757"/>
      <c r="L1538" s="577">
        <f t="shared" si="143"/>
        <v>0</v>
      </c>
      <c r="M1538" s="757"/>
    </row>
    <row r="1539" spans="1:13" x14ac:dyDescent="0.2">
      <c r="A1539" s="459" t="s">
        <v>866</v>
      </c>
      <c r="B1539" s="459" t="s">
        <v>279</v>
      </c>
      <c r="C1539" s="338" t="s">
        <v>351</v>
      </c>
      <c r="D1539" s="179">
        <v>4000</v>
      </c>
      <c r="E1539" s="179"/>
      <c r="F1539" s="179">
        <v>0</v>
      </c>
      <c r="G1539" s="577">
        <v>0</v>
      </c>
      <c r="H1539" s="577">
        <f t="shared" si="145"/>
        <v>4000</v>
      </c>
      <c r="I1539" s="577">
        <v>4000</v>
      </c>
      <c r="J1539" s="577">
        <f t="shared" si="141"/>
        <v>0</v>
      </c>
      <c r="K1539" s="757">
        <f t="shared" si="142"/>
        <v>0</v>
      </c>
      <c r="L1539" s="577">
        <f t="shared" si="143"/>
        <v>0</v>
      </c>
      <c r="M1539" s="757">
        <f t="shared" si="144"/>
        <v>0</v>
      </c>
    </row>
    <row r="1540" spans="1:13" x14ac:dyDescent="0.2">
      <c r="A1540" s="459"/>
      <c r="B1540" s="459"/>
      <c r="C1540" s="393"/>
      <c r="D1540" s="182"/>
      <c r="E1540" s="182"/>
      <c r="F1540" s="491">
        <v>0</v>
      </c>
      <c r="G1540" s="571">
        <v>0</v>
      </c>
      <c r="H1540" s="571">
        <f t="shared" si="145"/>
        <v>0</v>
      </c>
      <c r="I1540" s="571">
        <v>0</v>
      </c>
      <c r="J1540" s="571">
        <f t="shared" si="141"/>
        <v>0</v>
      </c>
      <c r="K1540" s="529"/>
      <c r="L1540" s="571">
        <f t="shared" si="143"/>
        <v>0</v>
      </c>
      <c r="M1540" s="529"/>
    </row>
    <row r="1541" spans="1:13" x14ac:dyDescent="0.2">
      <c r="A1541" s="459" t="s">
        <v>870</v>
      </c>
      <c r="B1541" s="459" t="s">
        <v>279</v>
      </c>
      <c r="C1541" s="315" t="s">
        <v>269</v>
      </c>
      <c r="D1541" s="197">
        <f>247662+11414</f>
        <v>259076</v>
      </c>
      <c r="E1541" s="197"/>
      <c r="F1541" s="496">
        <v>0</v>
      </c>
      <c r="G1541" s="613">
        <v>461</v>
      </c>
      <c r="H1541" s="613">
        <f t="shared" si="145"/>
        <v>259537</v>
      </c>
      <c r="I1541" s="613">
        <v>260457</v>
      </c>
      <c r="J1541" s="613">
        <f t="shared" si="141"/>
        <v>1381</v>
      </c>
      <c r="K1541" s="825">
        <f t="shared" si="142"/>
        <v>5.3304821751146382E-3</v>
      </c>
      <c r="L1541" s="613">
        <f t="shared" si="143"/>
        <v>920</v>
      </c>
      <c r="M1541" s="825">
        <f t="shared" si="144"/>
        <v>3.5447739628646398E-3</v>
      </c>
    </row>
    <row r="1542" spans="1:13" x14ac:dyDescent="0.2">
      <c r="A1542" s="459"/>
      <c r="B1542" s="459"/>
      <c r="C1542" s="308" t="s">
        <v>119</v>
      </c>
      <c r="D1542" s="489">
        <v>7008</v>
      </c>
      <c r="E1542" s="145"/>
      <c r="F1542" s="489">
        <v>0</v>
      </c>
      <c r="G1542" s="781">
        <v>344</v>
      </c>
      <c r="H1542" s="567">
        <f t="shared" si="145"/>
        <v>7352</v>
      </c>
      <c r="I1542" s="567">
        <v>8040</v>
      </c>
      <c r="J1542" s="567">
        <f t="shared" si="141"/>
        <v>1032</v>
      </c>
      <c r="K1542" s="878">
        <f t="shared" si="142"/>
        <v>0.14726027397260275</v>
      </c>
      <c r="L1542" s="567">
        <f t="shared" si="143"/>
        <v>688</v>
      </c>
      <c r="M1542" s="878">
        <f t="shared" si="144"/>
        <v>9.3579978237214367E-2</v>
      </c>
    </row>
    <row r="1543" spans="1:13" x14ac:dyDescent="0.2">
      <c r="A1543" s="459"/>
      <c r="B1543" s="459"/>
      <c r="C1543" s="104"/>
      <c r="D1543" s="172"/>
      <c r="E1543" s="172"/>
      <c r="F1543" s="172">
        <v>0</v>
      </c>
      <c r="G1543" s="574">
        <v>0</v>
      </c>
      <c r="H1543" s="574">
        <f t="shared" si="145"/>
        <v>0</v>
      </c>
      <c r="I1543" s="574">
        <v>0</v>
      </c>
      <c r="J1543" s="574">
        <f t="shared" si="141"/>
        <v>0</v>
      </c>
      <c r="K1543" s="757"/>
      <c r="L1543" s="574">
        <f t="shared" si="143"/>
        <v>0</v>
      </c>
      <c r="M1543" s="757"/>
    </row>
    <row r="1544" spans="1:13" x14ac:dyDescent="0.2">
      <c r="A1544" s="459" t="s">
        <v>869</v>
      </c>
      <c r="B1544" s="459" t="s">
        <v>279</v>
      </c>
      <c r="C1544" s="104" t="s">
        <v>275</v>
      </c>
      <c r="D1544" s="172">
        <v>44200</v>
      </c>
      <c r="E1544" s="172"/>
      <c r="F1544" s="172">
        <v>0</v>
      </c>
      <c r="G1544" s="574">
        <v>1520</v>
      </c>
      <c r="H1544" s="574">
        <f t="shared" si="145"/>
        <v>45720</v>
      </c>
      <c r="I1544" s="574">
        <v>45720</v>
      </c>
      <c r="J1544" s="574">
        <f t="shared" si="141"/>
        <v>1520</v>
      </c>
      <c r="K1544" s="757">
        <f t="shared" si="142"/>
        <v>3.4389140271493215E-2</v>
      </c>
      <c r="L1544" s="574">
        <f t="shared" si="143"/>
        <v>0</v>
      </c>
      <c r="M1544" s="757">
        <f t="shared" si="144"/>
        <v>0</v>
      </c>
    </row>
    <row r="1545" spans="1:13" x14ac:dyDescent="0.2">
      <c r="A1545" s="459"/>
      <c r="B1545" s="459"/>
      <c r="C1545" s="315"/>
      <c r="D1545" s="197"/>
      <c r="E1545" s="197"/>
      <c r="F1545" s="496">
        <v>0</v>
      </c>
      <c r="G1545" s="613">
        <v>0</v>
      </c>
      <c r="H1545" s="613">
        <f t="shared" si="145"/>
        <v>0</v>
      </c>
      <c r="I1545" s="613">
        <v>0</v>
      </c>
      <c r="J1545" s="613">
        <f t="shared" si="141"/>
        <v>0</v>
      </c>
      <c r="K1545" s="825"/>
      <c r="L1545" s="613">
        <f t="shared" si="143"/>
        <v>0</v>
      </c>
      <c r="M1545" s="825"/>
    </row>
    <row r="1546" spans="1:13" x14ac:dyDescent="0.2">
      <c r="A1546" s="459" t="s">
        <v>869</v>
      </c>
      <c r="B1546" s="459" t="s">
        <v>279</v>
      </c>
      <c r="C1546" s="104" t="s">
        <v>252</v>
      </c>
      <c r="D1546" s="172">
        <v>29940</v>
      </c>
      <c r="E1546" s="172"/>
      <c r="F1546" s="172">
        <v>0</v>
      </c>
      <c r="G1546" s="574">
        <v>6401</v>
      </c>
      <c r="H1546" s="574">
        <f t="shared" si="145"/>
        <v>36341</v>
      </c>
      <c r="I1546" s="574">
        <v>29940</v>
      </c>
      <c r="J1546" s="574">
        <f t="shared" si="141"/>
        <v>0</v>
      </c>
      <c r="K1546" s="757">
        <f t="shared" si="142"/>
        <v>0</v>
      </c>
      <c r="L1546" s="574">
        <f t="shared" si="143"/>
        <v>-6401</v>
      </c>
      <c r="M1546" s="757">
        <f t="shared" si="144"/>
        <v>-0.17613714537299469</v>
      </c>
    </row>
    <row r="1547" spans="1:13" x14ac:dyDescent="0.2">
      <c r="C1547" s="393"/>
      <c r="D1547" s="182"/>
      <c r="E1547" s="182"/>
      <c r="F1547" s="491">
        <v>0</v>
      </c>
      <c r="G1547" s="571">
        <v>0</v>
      </c>
      <c r="H1547" s="571">
        <f t="shared" si="145"/>
        <v>0</v>
      </c>
      <c r="I1547" s="571">
        <v>0</v>
      </c>
      <c r="J1547" s="571">
        <f t="shared" si="141"/>
        <v>0</v>
      </c>
      <c r="K1547" s="529"/>
      <c r="L1547" s="571">
        <f t="shared" si="143"/>
        <v>0</v>
      </c>
      <c r="M1547" s="529"/>
    </row>
    <row r="1548" spans="1:13" x14ac:dyDescent="0.2">
      <c r="A1548" s="459" t="s">
        <v>883</v>
      </c>
      <c r="B1548" s="459" t="s">
        <v>279</v>
      </c>
      <c r="C1548" s="104" t="s">
        <v>276</v>
      </c>
      <c r="D1548" s="172">
        <v>13500</v>
      </c>
      <c r="E1548" s="172"/>
      <c r="F1548" s="172">
        <v>0</v>
      </c>
      <c r="G1548" s="574">
        <v>-11401</v>
      </c>
      <c r="H1548" s="574">
        <f t="shared" si="145"/>
        <v>2099</v>
      </c>
      <c r="I1548" s="574">
        <v>13500</v>
      </c>
      <c r="J1548" s="574">
        <f t="shared" si="141"/>
        <v>0</v>
      </c>
      <c r="K1548" s="757">
        <f t="shared" si="142"/>
        <v>0</v>
      </c>
      <c r="L1548" s="574">
        <f t="shared" si="143"/>
        <v>11401</v>
      </c>
      <c r="M1548" s="757">
        <f t="shared" si="144"/>
        <v>5.4316341114816575</v>
      </c>
    </row>
    <row r="1549" spans="1:13" x14ac:dyDescent="0.2">
      <c r="C1549" s="108"/>
      <c r="D1549" s="179"/>
      <c r="E1549" s="179"/>
      <c r="F1549" s="179">
        <v>0</v>
      </c>
      <c r="G1549" s="179"/>
      <c r="H1549" s="179">
        <f t="shared" si="145"/>
        <v>0</v>
      </c>
      <c r="I1549" s="179">
        <v>0</v>
      </c>
      <c r="J1549" s="179">
        <f t="shared" si="141"/>
        <v>0</v>
      </c>
      <c r="K1549" s="542"/>
      <c r="L1549" s="179">
        <f t="shared" si="143"/>
        <v>0</v>
      </c>
      <c r="M1549" s="542"/>
    </row>
    <row r="1550" spans="1:13" x14ac:dyDescent="0.2">
      <c r="C1550" s="108"/>
      <c r="D1550" s="179"/>
      <c r="E1550" s="179"/>
      <c r="F1550" s="179">
        <v>0</v>
      </c>
      <c r="G1550" s="179"/>
      <c r="H1550" s="179">
        <f t="shared" si="145"/>
        <v>0</v>
      </c>
      <c r="I1550" s="179">
        <v>0</v>
      </c>
      <c r="J1550" s="179">
        <f t="shared" si="141"/>
        <v>0</v>
      </c>
      <c r="K1550" s="542"/>
      <c r="L1550" s="179">
        <f t="shared" si="143"/>
        <v>0</v>
      </c>
      <c r="M1550" s="542"/>
    </row>
    <row r="1551" spans="1:13" ht="15.75" x14ac:dyDescent="0.2">
      <c r="C1551" s="289" t="s">
        <v>280</v>
      </c>
      <c r="D1551" s="176"/>
      <c r="E1551" s="176"/>
      <c r="F1551" s="176">
        <v>0</v>
      </c>
      <c r="G1551" s="176"/>
      <c r="H1551" s="176">
        <f t="shared" si="145"/>
        <v>0</v>
      </c>
      <c r="I1551" s="176">
        <v>0</v>
      </c>
      <c r="J1551" s="176">
        <f t="shared" si="141"/>
        <v>0</v>
      </c>
      <c r="K1551" s="906"/>
      <c r="L1551" s="176">
        <f t="shared" si="143"/>
        <v>0</v>
      </c>
      <c r="M1551" s="906"/>
    </row>
    <row r="1552" spans="1:13" x14ac:dyDescent="0.2">
      <c r="C1552" s="108"/>
      <c r="D1552" s="179"/>
      <c r="E1552" s="179"/>
      <c r="F1552" s="179">
        <v>0</v>
      </c>
      <c r="G1552" s="179"/>
      <c r="H1552" s="179">
        <f t="shared" si="145"/>
        <v>0</v>
      </c>
      <c r="I1552" s="179">
        <v>0</v>
      </c>
      <c r="J1552" s="179">
        <f t="shared" si="141"/>
        <v>0</v>
      </c>
      <c r="K1552" s="542"/>
      <c r="L1552" s="179">
        <f t="shared" si="143"/>
        <v>0</v>
      </c>
      <c r="M1552" s="542"/>
    </row>
    <row r="1553" spans="1:13" s="486" customFormat="1" x14ac:dyDescent="0.2">
      <c r="A1553" s="503"/>
      <c r="B1553" s="503"/>
      <c r="C1553" s="100" t="s">
        <v>193</v>
      </c>
      <c r="D1553" s="170">
        <f>D1561+D1571+D1599+D1596+D1565</f>
        <v>3592501</v>
      </c>
      <c r="E1553" s="488">
        <f>E1561+E1571+E1599+E1596+E1565</f>
        <v>51165</v>
      </c>
      <c r="F1553" s="488">
        <f>F1561+F1571+F1599+F1596+F1565</f>
        <v>63086</v>
      </c>
      <c r="G1553" s="570">
        <f>G1561+G1571+G1599+G1596+G1565</f>
        <v>18064</v>
      </c>
      <c r="H1553" s="488">
        <f t="shared" si="145"/>
        <v>3724816</v>
      </c>
      <c r="I1553" s="488">
        <v>3737565</v>
      </c>
      <c r="J1553" s="488">
        <f t="shared" si="141"/>
        <v>145064</v>
      </c>
      <c r="K1553" s="865">
        <f t="shared" si="142"/>
        <v>4.0379668648665649E-2</v>
      </c>
      <c r="L1553" s="488">
        <f t="shared" si="143"/>
        <v>12749</v>
      </c>
      <c r="M1553" s="865">
        <f t="shared" si="144"/>
        <v>3.4227194041262709E-3</v>
      </c>
    </row>
    <row r="1554" spans="1:13" x14ac:dyDescent="0.2">
      <c r="C1554" s="101" t="s">
        <v>479</v>
      </c>
      <c r="D1554" s="182">
        <v>131273</v>
      </c>
      <c r="E1554" s="491"/>
      <c r="F1554" s="491"/>
      <c r="G1554" s="571"/>
      <c r="H1554" s="491">
        <f t="shared" si="145"/>
        <v>131273</v>
      </c>
      <c r="I1554" s="491">
        <v>154417</v>
      </c>
      <c r="J1554" s="491">
        <f t="shared" si="141"/>
        <v>23144</v>
      </c>
      <c r="K1554" s="866">
        <f t="shared" si="142"/>
        <v>0.17630434285801344</v>
      </c>
      <c r="L1554" s="491">
        <f t="shared" si="143"/>
        <v>23144</v>
      </c>
      <c r="M1554" s="866">
        <f t="shared" si="144"/>
        <v>0.17630434285801344</v>
      </c>
    </row>
    <row r="1555" spans="1:13" s="6" customFormat="1" x14ac:dyDescent="0.2">
      <c r="A1555" s="503"/>
      <c r="B1555" s="503"/>
      <c r="C1555" s="107" t="s">
        <v>116</v>
      </c>
      <c r="D1555" s="183">
        <f>D1556+D1558</f>
        <v>3592501</v>
      </c>
      <c r="E1555" s="183">
        <f>E1556+E1558</f>
        <v>51165</v>
      </c>
      <c r="F1555" s="183">
        <f>F1556+F1558</f>
        <v>63086</v>
      </c>
      <c r="G1555" s="570">
        <f>G1556+G1558+G1557</f>
        <v>18064</v>
      </c>
      <c r="H1555" s="183">
        <f t="shared" si="145"/>
        <v>3724816</v>
      </c>
      <c r="I1555" s="183">
        <v>3737565</v>
      </c>
      <c r="J1555" s="183">
        <f t="shared" si="141"/>
        <v>145064</v>
      </c>
      <c r="K1555" s="528">
        <f t="shared" si="142"/>
        <v>4.0379668648665649E-2</v>
      </c>
      <c r="L1555" s="183">
        <f t="shared" si="143"/>
        <v>12749</v>
      </c>
      <c r="M1555" s="528">
        <f t="shared" si="144"/>
        <v>3.4227194041262709E-3</v>
      </c>
    </row>
    <row r="1556" spans="1:13" x14ac:dyDescent="0.2">
      <c r="C1556" s="102" t="s">
        <v>117</v>
      </c>
      <c r="D1556" s="182">
        <f>'2.2 OMATULUD'!B655</f>
        <v>769195</v>
      </c>
      <c r="E1556" s="491"/>
      <c r="F1556" s="491">
        <v>-103200</v>
      </c>
      <c r="G1556" s="571">
        <v>-33800</v>
      </c>
      <c r="H1556" s="491">
        <f t="shared" si="145"/>
        <v>632195</v>
      </c>
      <c r="I1556" s="491">
        <v>772655</v>
      </c>
      <c r="J1556" s="491">
        <f t="shared" si="141"/>
        <v>3460</v>
      </c>
      <c r="K1556" s="866">
        <f t="shared" si="142"/>
        <v>4.498209166726253E-3</v>
      </c>
      <c r="L1556" s="491">
        <f t="shared" si="143"/>
        <v>140460</v>
      </c>
      <c r="M1556" s="866">
        <f t="shared" si="144"/>
        <v>0.22217828359920594</v>
      </c>
    </row>
    <row r="1557" spans="1:13" x14ac:dyDescent="0.2">
      <c r="C1557" s="761" t="s">
        <v>0</v>
      </c>
      <c r="D1557" s="491"/>
      <c r="E1557" s="491"/>
      <c r="F1557" s="491"/>
      <c r="G1557" s="571">
        <v>12321</v>
      </c>
      <c r="H1557" s="491">
        <f t="shared" si="145"/>
        <v>12321</v>
      </c>
      <c r="I1557" s="491">
        <v>0</v>
      </c>
      <c r="J1557" s="491">
        <f t="shared" si="141"/>
        <v>0</v>
      </c>
      <c r="K1557" s="866"/>
      <c r="L1557" s="491">
        <f t="shared" si="143"/>
        <v>-12321</v>
      </c>
      <c r="M1557" s="866">
        <f t="shared" si="144"/>
        <v>-1</v>
      </c>
    </row>
    <row r="1558" spans="1:13" x14ac:dyDescent="0.2">
      <c r="C1558" s="95" t="s">
        <v>118</v>
      </c>
      <c r="D1558" s="182">
        <f>D1553-D1556</f>
        <v>2823306</v>
      </c>
      <c r="E1558" s="491">
        <f>E1553-E1556</f>
        <v>51165</v>
      </c>
      <c r="F1558" s="491">
        <f>F1553-F1556</f>
        <v>166286</v>
      </c>
      <c r="G1558" s="571">
        <f>G1553-G1556-G1557</f>
        <v>39543</v>
      </c>
      <c r="H1558" s="491">
        <f t="shared" si="145"/>
        <v>3080300</v>
      </c>
      <c r="I1558" s="491">
        <v>2964910</v>
      </c>
      <c r="J1558" s="491">
        <f t="shared" si="141"/>
        <v>141604</v>
      </c>
      <c r="K1558" s="866">
        <f t="shared" si="142"/>
        <v>5.0155385211521526E-2</v>
      </c>
      <c r="L1558" s="491">
        <f t="shared" si="143"/>
        <v>-115390</v>
      </c>
      <c r="M1558" s="866">
        <f t="shared" si="144"/>
        <v>-3.7460636950946334E-2</v>
      </c>
    </row>
    <row r="1559" spans="1:13" x14ac:dyDescent="0.2">
      <c r="A1559" s="459"/>
      <c r="B1559" s="459"/>
      <c r="C1559" s="473" t="s">
        <v>909</v>
      </c>
      <c r="D1559" s="474">
        <f>D1563+D1569+D1576+D1581+D1586+D1590+D1594+D1602+D1611+D1618</f>
        <v>1687879</v>
      </c>
      <c r="E1559" s="474">
        <f>E1563+E1569+E1576+E1581+E1586+E1590+E1594+E1602+E1611+E1618</f>
        <v>38239</v>
      </c>
      <c r="F1559" s="474">
        <f>F1563+F1569+F1576+F1581+F1586+F1590+F1594+F1602+F1611+F1618</f>
        <v>13293</v>
      </c>
      <c r="G1559" s="572">
        <f>G1563+G1569+G1576+G1581+G1586+G1590+G1594+G1602+G1611+G1618</f>
        <v>-13829</v>
      </c>
      <c r="H1559" s="474">
        <f t="shared" si="145"/>
        <v>1725582</v>
      </c>
      <c r="I1559" s="474">
        <v>1774929</v>
      </c>
      <c r="J1559" s="474">
        <f t="shared" si="141"/>
        <v>87050</v>
      </c>
      <c r="K1559" s="867">
        <f t="shared" si="142"/>
        <v>5.1573602136172084E-2</v>
      </c>
      <c r="L1559" s="474">
        <f t="shared" si="143"/>
        <v>49347</v>
      </c>
      <c r="M1559" s="867">
        <f t="shared" si="144"/>
        <v>2.8597308038679124E-2</v>
      </c>
    </row>
    <row r="1560" spans="1:13" s="56" customFormat="1" x14ac:dyDescent="0.2">
      <c r="A1560" s="503"/>
      <c r="B1560" s="503"/>
      <c r="C1560" s="95"/>
      <c r="D1560" s="182"/>
      <c r="E1560" s="182"/>
      <c r="F1560" s="491">
        <v>0</v>
      </c>
      <c r="G1560" s="571">
        <v>0</v>
      </c>
      <c r="H1560" s="491">
        <f t="shared" si="145"/>
        <v>0</v>
      </c>
      <c r="I1560" s="491">
        <v>0</v>
      </c>
      <c r="J1560" s="491">
        <f t="shared" si="141"/>
        <v>0</v>
      </c>
      <c r="K1560" s="866"/>
      <c r="L1560" s="491">
        <f t="shared" si="143"/>
        <v>0</v>
      </c>
      <c r="M1560" s="866"/>
    </row>
    <row r="1561" spans="1:13" ht="15" x14ac:dyDescent="0.2">
      <c r="A1561" s="459" t="s">
        <v>864</v>
      </c>
      <c r="B1561" s="459" t="s">
        <v>280</v>
      </c>
      <c r="C1561" s="402" t="s">
        <v>198</v>
      </c>
      <c r="D1561" s="212">
        <f>D1562</f>
        <v>329476</v>
      </c>
      <c r="E1561" s="212"/>
      <c r="F1561" s="497">
        <f>F1562</f>
        <v>-1200</v>
      </c>
      <c r="G1561" s="669">
        <f>G1562</f>
        <v>-300</v>
      </c>
      <c r="H1561" s="497">
        <f t="shared" si="145"/>
        <v>327976</v>
      </c>
      <c r="I1561" s="497">
        <v>328276</v>
      </c>
      <c r="J1561" s="497">
        <f t="shared" si="141"/>
        <v>-1200</v>
      </c>
      <c r="K1561" s="956">
        <f t="shared" si="142"/>
        <v>-3.6421469242069225E-3</v>
      </c>
      <c r="L1561" s="497">
        <f t="shared" si="143"/>
        <v>300</v>
      </c>
      <c r="M1561" s="956">
        <f t="shared" si="144"/>
        <v>9.1470107568846501E-4</v>
      </c>
    </row>
    <row r="1562" spans="1:13" x14ac:dyDescent="0.2">
      <c r="C1562" s="292" t="s">
        <v>748</v>
      </c>
      <c r="D1562" s="118">
        <v>329476</v>
      </c>
      <c r="E1562" s="118"/>
      <c r="F1562" s="477">
        <v>-1200</v>
      </c>
      <c r="G1562" s="566">
        <v>-300</v>
      </c>
      <c r="H1562" s="477">
        <f t="shared" si="145"/>
        <v>327976</v>
      </c>
      <c r="I1562" s="477">
        <v>328276</v>
      </c>
      <c r="J1562" s="477">
        <f t="shared" si="141"/>
        <v>-1200</v>
      </c>
      <c r="K1562" s="909">
        <f t="shared" si="142"/>
        <v>-3.6421469242069225E-3</v>
      </c>
      <c r="L1562" s="477">
        <f t="shared" si="143"/>
        <v>300</v>
      </c>
      <c r="M1562" s="909">
        <f t="shared" si="144"/>
        <v>9.1470107568846501E-4</v>
      </c>
    </row>
    <row r="1563" spans="1:13" x14ac:dyDescent="0.2">
      <c r="C1563" s="98" t="s">
        <v>119</v>
      </c>
      <c r="D1563" s="489">
        <v>157207</v>
      </c>
      <c r="E1563" s="145"/>
      <c r="F1563" s="489">
        <v>0</v>
      </c>
      <c r="G1563" s="567">
        <v>0</v>
      </c>
      <c r="H1563" s="489">
        <f t="shared" si="145"/>
        <v>157207</v>
      </c>
      <c r="I1563" s="489">
        <v>157207</v>
      </c>
      <c r="J1563" s="489">
        <f t="shared" si="141"/>
        <v>0</v>
      </c>
      <c r="K1563" s="869">
        <f t="shared" si="142"/>
        <v>0</v>
      </c>
      <c r="L1563" s="489">
        <f t="shared" si="143"/>
        <v>0</v>
      </c>
      <c r="M1563" s="869">
        <f t="shared" si="144"/>
        <v>0</v>
      </c>
    </row>
    <row r="1564" spans="1:13" x14ac:dyDescent="0.2">
      <c r="C1564" s="357"/>
      <c r="D1564" s="195"/>
      <c r="E1564" s="195"/>
      <c r="F1564" s="195">
        <v>0</v>
      </c>
      <c r="G1564" s="659">
        <v>0</v>
      </c>
      <c r="H1564" s="195">
        <f t="shared" si="145"/>
        <v>0</v>
      </c>
      <c r="I1564" s="195">
        <v>0</v>
      </c>
      <c r="J1564" s="195">
        <f t="shared" si="141"/>
        <v>0</v>
      </c>
      <c r="K1564" s="922"/>
      <c r="L1564" s="195">
        <f t="shared" si="143"/>
        <v>0</v>
      </c>
      <c r="M1564" s="922"/>
    </row>
    <row r="1565" spans="1:13" ht="15" x14ac:dyDescent="0.2">
      <c r="A1565" s="459" t="s">
        <v>865</v>
      </c>
      <c r="B1565" s="459" t="s">
        <v>280</v>
      </c>
      <c r="C1565" s="402" t="s">
        <v>200</v>
      </c>
      <c r="D1565" s="212">
        <f>D1566</f>
        <v>168254</v>
      </c>
      <c r="E1565" s="212"/>
      <c r="F1565" s="497">
        <v>0</v>
      </c>
      <c r="G1565" s="669">
        <f>G1566</f>
        <v>600</v>
      </c>
      <c r="H1565" s="497">
        <f t="shared" si="145"/>
        <v>168854</v>
      </c>
      <c r="I1565" s="497">
        <v>168254</v>
      </c>
      <c r="J1565" s="497">
        <f t="shared" si="141"/>
        <v>0</v>
      </c>
      <c r="K1565" s="956">
        <f t="shared" si="142"/>
        <v>0</v>
      </c>
      <c r="L1565" s="497">
        <f t="shared" si="143"/>
        <v>-600</v>
      </c>
      <c r="M1565" s="956">
        <f t="shared" si="144"/>
        <v>-3.5533656294787211E-3</v>
      </c>
    </row>
    <row r="1566" spans="1:13" x14ac:dyDescent="0.2">
      <c r="C1566" s="292" t="s">
        <v>201</v>
      </c>
      <c r="D1566" s="118">
        <f>D1568</f>
        <v>168254</v>
      </c>
      <c r="E1566" s="118"/>
      <c r="F1566" s="477">
        <v>0</v>
      </c>
      <c r="G1566" s="566">
        <f>G1568</f>
        <v>600</v>
      </c>
      <c r="H1566" s="477">
        <f t="shared" si="145"/>
        <v>168854</v>
      </c>
      <c r="I1566" s="477">
        <v>168254</v>
      </c>
      <c r="J1566" s="477">
        <f t="shared" si="141"/>
        <v>0</v>
      </c>
      <c r="K1566" s="909">
        <f t="shared" si="142"/>
        <v>0</v>
      </c>
      <c r="L1566" s="477">
        <f t="shared" si="143"/>
        <v>-600</v>
      </c>
      <c r="M1566" s="909">
        <f t="shared" si="144"/>
        <v>-3.5533656294787211E-3</v>
      </c>
    </row>
    <row r="1567" spans="1:13" x14ac:dyDescent="0.2">
      <c r="C1567" s="408" t="s">
        <v>196</v>
      </c>
      <c r="D1567" s="170"/>
      <c r="E1567" s="170"/>
      <c r="F1567" s="488">
        <v>0</v>
      </c>
      <c r="G1567" s="570">
        <v>0</v>
      </c>
      <c r="H1567" s="488">
        <f t="shared" si="145"/>
        <v>0</v>
      </c>
      <c r="I1567" s="488">
        <v>0</v>
      </c>
      <c r="J1567" s="488">
        <f t="shared" si="141"/>
        <v>0</v>
      </c>
      <c r="K1567" s="865"/>
      <c r="L1567" s="488">
        <f t="shared" si="143"/>
        <v>0</v>
      </c>
      <c r="M1567" s="865"/>
    </row>
    <row r="1568" spans="1:13" x14ac:dyDescent="0.2">
      <c r="C1568" s="378" t="s">
        <v>749</v>
      </c>
      <c r="D1568" s="202">
        <v>168254</v>
      </c>
      <c r="E1568" s="202"/>
      <c r="F1568" s="493">
        <v>0</v>
      </c>
      <c r="G1568" s="601">
        <v>600</v>
      </c>
      <c r="H1568" s="493">
        <f t="shared" si="145"/>
        <v>168854</v>
      </c>
      <c r="I1568" s="493">
        <v>168254</v>
      </c>
      <c r="J1568" s="493">
        <f t="shared" si="141"/>
        <v>0</v>
      </c>
      <c r="K1568" s="868">
        <f t="shared" si="142"/>
        <v>0</v>
      </c>
      <c r="L1568" s="493">
        <f t="shared" si="143"/>
        <v>-600</v>
      </c>
      <c r="M1568" s="868">
        <f t="shared" si="144"/>
        <v>-3.5533656294787211E-3</v>
      </c>
    </row>
    <row r="1569" spans="1:13" x14ac:dyDescent="0.2">
      <c r="C1569" s="103" t="s">
        <v>119</v>
      </c>
      <c r="D1569" s="489">
        <v>99404</v>
      </c>
      <c r="E1569" s="145"/>
      <c r="F1569" s="489">
        <v>0</v>
      </c>
      <c r="G1569" s="567">
        <v>0</v>
      </c>
      <c r="H1569" s="489">
        <f t="shared" si="145"/>
        <v>99404</v>
      </c>
      <c r="I1569" s="489">
        <v>99404</v>
      </c>
      <c r="J1569" s="489">
        <f t="shared" si="141"/>
        <v>0</v>
      </c>
      <c r="K1569" s="869">
        <f t="shared" si="142"/>
        <v>0</v>
      </c>
      <c r="L1569" s="489">
        <f t="shared" si="143"/>
        <v>0</v>
      </c>
      <c r="M1569" s="869">
        <f t="shared" si="144"/>
        <v>0</v>
      </c>
    </row>
    <row r="1570" spans="1:13" x14ac:dyDescent="0.2">
      <c r="C1570" s="311"/>
      <c r="D1570" s="201"/>
      <c r="E1570" s="201"/>
      <c r="F1570" s="490">
        <v>0</v>
      </c>
      <c r="G1570" s="612">
        <v>0</v>
      </c>
      <c r="H1570" s="490">
        <f t="shared" si="145"/>
        <v>0</v>
      </c>
      <c r="I1570" s="490">
        <v>0</v>
      </c>
      <c r="J1570" s="490">
        <f t="shared" si="141"/>
        <v>0</v>
      </c>
      <c r="K1570" s="914"/>
      <c r="L1570" s="490">
        <f t="shared" si="143"/>
        <v>0</v>
      </c>
      <c r="M1570" s="914"/>
    </row>
    <row r="1571" spans="1:13" ht="15" x14ac:dyDescent="0.2">
      <c r="A1571" s="459" t="s">
        <v>866</v>
      </c>
      <c r="B1571" s="459" t="s">
        <v>280</v>
      </c>
      <c r="C1571" s="402" t="s">
        <v>203</v>
      </c>
      <c r="D1571" s="212">
        <f>D1573+D1578+D1583</f>
        <v>1028232</v>
      </c>
      <c r="E1571" s="497">
        <v>19202</v>
      </c>
      <c r="F1571" s="497">
        <v>0</v>
      </c>
      <c r="G1571" s="669">
        <f>G1578+G1583</f>
        <v>4855</v>
      </c>
      <c r="H1571" s="497">
        <f t="shared" si="145"/>
        <v>1052289</v>
      </c>
      <c r="I1571" s="497">
        <v>1047434</v>
      </c>
      <c r="J1571" s="497">
        <f t="shared" si="141"/>
        <v>19202</v>
      </c>
      <c r="K1571" s="956">
        <f t="shared" si="142"/>
        <v>1.8674773786460642E-2</v>
      </c>
      <c r="L1571" s="497">
        <f t="shared" si="143"/>
        <v>-4855</v>
      </c>
      <c r="M1571" s="956">
        <f t="shared" si="144"/>
        <v>-4.6137515454404638E-3</v>
      </c>
    </row>
    <row r="1572" spans="1:13" x14ac:dyDescent="0.2">
      <c r="C1572" s="308"/>
      <c r="D1572" s="145"/>
      <c r="E1572" s="489"/>
      <c r="F1572" s="489">
        <v>0</v>
      </c>
      <c r="G1572" s="567">
        <v>0</v>
      </c>
      <c r="H1572" s="489">
        <f t="shared" si="145"/>
        <v>0</v>
      </c>
      <c r="I1572" s="489">
        <v>0</v>
      </c>
      <c r="J1572" s="489">
        <f t="shared" si="141"/>
        <v>0</v>
      </c>
      <c r="K1572" s="869"/>
      <c r="L1572" s="489">
        <f t="shared" si="143"/>
        <v>0</v>
      </c>
      <c r="M1572" s="869"/>
    </row>
    <row r="1573" spans="1:13" s="56" customFormat="1" x14ac:dyDescent="0.2">
      <c r="A1573" s="503"/>
      <c r="B1573" s="503"/>
      <c r="C1573" s="112" t="s">
        <v>210</v>
      </c>
      <c r="D1573" s="170">
        <f>D1575</f>
        <v>247786</v>
      </c>
      <c r="E1573" s="488">
        <v>4367</v>
      </c>
      <c r="F1573" s="488">
        <v>0</v>
      </c>
      <c r="G1573" s="570">
        <v>0</v>
      </c>
      <c r="H1573" s="488">
        <f t="shared" si="145"/>
        <v>252153</v>
      </c>
      <c r="I1573" s="488">
        <v>252153</v>
      </c>
      <c r="J1573" s="488">
        <f t="shared" si="141"/>
        <v>4367</v>
      </c>
      <c r="K1573" s="865">
        <f t="shared" si="142"/>
        <v>1.7624078842226762E-2</v>
      </c>
      <c r="L1573" s="488">
        <f t="shared" si="143"/>
        <v>0</v>
      </c>
      <c r="M1573" s="865">
        <f t="shared" si="144"/>
        <v>0</v>
      </c>
    </row>
    <row r="1574" spans="1:13" x14ac:dyDescent="0.2">
      <c r="C1574" s="408" t="s">
        <v>196</v>
      </c>
      <c r="D1574" s="170"/>
      <c r="E1574" s="488"/>
      <c r="F1574" s="488">
        <v>0</v>
      </c>
      <c r="G1574" s="570">
        <v>0</v>
      </c>
      <c r="H1574" s="488">
        <f t="shared" si="145"/>
        <v>0</v>
      </c>
      <c r="I1574" s="488">
        <v>0</v>
      </c>
      <c r="J1574" s="488">
        <f t="shared" si="141"/>
        <v>0</v>
      </c>
      <c r="K1574" s="865"/>
      <c r="L1574" s="488">
        <f t="shared" si="143"/>
        <v>0</v>
      </c>
      <c r="M1574" s="865"/>
    </row>
    <row r="1575" spans="1:13" x14ac:dyDescent="0.2">
      <c r="C1575" s="378" t="s">
        <v>853</v>
      </c>
      <c r="D1575" s="202">
        <v>247786</v>
      </c>
      <c r="E1575" s="493">
        <v>4367</v>
      </c>
      <c r="F1575" s="493">
        <v>0</v>
      </c>
      <c r="G1575" s="601">
        <v>0</v>
      </c>
      <c r="H1575" s="493">
        <f t="shared" si="145"/>
        <v>252153</v>
      </c>
      <c r="I1575" s="493">
        <v>252153</v>
      </c>
      <c r="J1575" s="493">
        <f t="shared" si="141"/>
        <v>4367</v>
      </c>
      <c r="K1575" s="868">
        <f t="shared" si="142"/>
        <v>1.7624078842226762E-2</v>
      </c>
      <c r="L1575" s="493">
        <f t="shared" si="143"/>
        <v>0</v>
      </c>
      <c r="M1575" s="868">
        <f t="shared" si="144"/>
        <v>0</v>
      </c>
    </row>
    <row r="1576" spans="1:13" x14ac:dyDescent="0.2">
      <c r="C1576" s="103" t="s">
        <v>119</v>
      </c>
      <c r="D1576" s="489">
        <v>101030</v>
      </c>
      <c r="E1576" s="489">
        <v>3264</v>
      </c>
      <c r="F1576" s="489">
        <v>0</v>
      </c>
      <c r="G1576" s="567">
        <v>0</v>
      </c>
      <c r="H1576" s="489">
        <f t="shared" si="145"/>
        <v>104294</v>
      </c>
      <c r="I1576" s="489">
        <v>106046</v>
      </c>
      <c r="J1576" s="489">
        <f t="shared" si="141"/>
        <v>5016</v>
      </c>
      <c r="K1576" s="869">
        <f t="shared" si="142"/>
        <v>4.964861922201326E-2</v>
      </c>
      <c r="L1576" s="489">
        <f t="shared" si="143"/>
        <v>1752</v>
      </c>
      <c r="M1576" s="869">
        <f t="shared" si="144"/>
        <v>1.6798665311523193E-2</v>
      </c>
    </row>
    <row r="1577" spans="1:13" x14ac:dyDescent="0.2">
      <c r="C1577" s="311"/>
      <c r="D1577" s="201"/>
      <c r="E1577" s="490"/>
      <c r="F1577" s="490">
        <v>0</v>
      </c>
      <c r="G1577" s="612">
        <v>0</v>
      </c>
      <c r="H1577" s="490">
        <f t="shared" si="145"/>
        <v>0</v>
      </c>
      <c r="I1577" s="490">
        <v>0</v>
      </c>
      <c r="J1577" s="490">
        <f t="shared" si="141"/>
        <v>0</v>
      </c>
      <c r="K1577" s="914"/>
      <c r="L1577" s="490">
        <f t="shared" si="143"/>
        <v>0</v>
      </c>
      <c r="M1577" s="914"/>
    </row>
    <row r="1578" spans="1:13" s="56" customFormat="1" x14ac:dyDescent="0.2">
      <c r="A1578" s="503"/>
      <c r="B1578" s="503"/>
      <c r="C1578" s="112" t="s">
        <v>215</v>
      </c>
      <c r="D1578" s="170">
        <f>D1580</f>
        <v>140989</v>
      </c>
      <c r="E1578" s="488">
        <v>9649</v>
      </c>
      <c r="F1578" s="488">
        <v>0</v>
      </c>
      <c r="G1578" s="570">
        <f>G1580</f>
        <v>1520</v>
      </c>
      <c r="H1578" s="488">
        <f t="shared" si="145"/>
        <v>152158</v>
      </c>
      <c r="I1578" s="488">
        <v>150638</v>
      </c>
      <c r="J1578" s="488">
        <f t="shared" si="141"/>
        <v>9649</v>
      </c>
      <c r="K1578" s="865">
        <f t="shared" si="142"/>
        <v>6.843796324535957E-2</v>
      </c>
      <c r="L1578" s="488">
        <f t="shared" si="143"/>
        <v>-1520</v>
      </c>
      <c r="M1578" s="865">
        <f t="shared" si="144"/>
        <v>-9.9896160569933889E-3</v>
      </c>
    </row>
    <row r="1579" spans="1:13" x14ac:dyDescent="0.2">
      <c r="C1579" s="408" t="s">
        <v>196</v>
      </c>
      <c r="D1579" s="170"/>
      <c r="E1579" s="488"/>
      <c r="F1579" s="488">
        <v>0</v>
      </c>
      <c r="G1579" s="570">
        <v>0</v>
      </c>
      <c r="H1579" s="488">
        <f t="shared" si="145"/>
        <v>0</v>
      </c>
      <c r="I1579" s="488">
        <v>0</v>
      </c>
      <c r="J1579" s="488">
        <f t="shared" si="141"/>
        <v>0</v>
      </c>
      <c r="K1579" s="865"/>
      <c r="L1579" s="488">
        <f t="shared" si="143"/>
        <v>0</v>
      </c>
      <c r="M1579" s="865"/>
    </row>
    <row r="1580" spans="1:13" x14ac:dyDescent="0.2">
      <c r="C1580" s="378" t="s">
        <v>750</v>
      </c>
      <c r="D1580" s="202">
        <v>140989</v>
      </c>
      <c r="E1580" s="493">
        <v>9649</v>
      </c>
      <c r="F1580" s="493">
        <v>0</v>
      </c>
      <c r="G1580" s="601">
        <v>1520</v>
      </c>
      <c r="H1580" s="493">
        <f t="shared" si="145"/>
        <v>152158</v>
      </c>
      <c r="I1580" s="493">
        <v>150638</v>
      </c>
      <c r="J1580" s="493">
        <f t="shared" si="141"/>
        <v>9649</v>
      </c>
      <c r="K1580" s="868">
        <f t="shared" si="142"/>
        <v>6.843796324535957E-2</v>
      </c>
      <c r="L1580" s="493">
        <f t="shared" si="143"/>
        <v>-1520</v>
      </c>
      <c r="M1580" s="868">
        <f t="shared" si="144"/>
        <v>-9.9896160569933889E-3</v>
      </c>
    </row>
    <row r="1581" spans="1:13" x14ac:dyDescent="0.2">
      <c r="C1581" s="103" t="s">
        <v>119</v>
      </c>
      <c r="D1581" s="489">
        <v>92070</v>
      </c>
      <c r="E1581" s="489">
        <v>7211</v>
      </c>
      <c r="F1581" s="489">
        <v>0</v>
      </c>
      <c r="G1581" s="781">
        <v>1136</v>
      </c>
      <c r="H1581" s="489">
        <f t="shared" si="145"/>
        <v>100417</v>
      </c>
      <c r="I1581" s="489">
        <v>103686</v>
      </c>
      <c r="J1581" s="489">
        <f t="shared" si="141"/>
        <v>11616</v>
      </c>
      <c r="K1581" s="869">
        <f t="shared" si="142"/>
        <v>0.12616487455197134</v>
      </c>
      <c r="L1581" s="489">
        <f t="shared" si="143"/>
        <v>3269</v>
      </c>
      <c r="M1581" s="869">
        <f t="shared" si="144"/>
        <v>3.2554248782576657E-2</v>
      </c>
    </row>
    <row r="1582" spans="1:13" x14ac:dyDescent="0.2">
      <c r="C1582" s="311"/>
      <c r="D1582" s="201"/>
      <c r="E1582" s="490"/>
      <c r="F1582" s="490">
        <v>0</v>
      </c>
      <c r="G1582" s="612">
        <v>0</v>
      </c>
      <c r="H1582" s="490">
        <f t="shared" si="145"/>
        <v>0</v>
      </c>
      <c r="I1582" s="490">
        <v>0</v>
      </c>
      <c r="J1582" s="490">
        <f t="shared" si="141"/>
        <v>0</v>
      </c>
      <c r="K1582" s="914"/>
      <c r="L1582" s="490">
        <f t="shared" si="143"/>
        <v>0</v>
      </c>
      <c r="M1582" s="914"/>
    </row>
    <row r="1583" spans="1:13" s="56" customFormat="1" ht="25.5" x14ac:dyDescent="0.2">
      <c r="A1583" s="503"/>
      <c r="B1583" s="503"/>
      <c r="C1583" s="407" t="s">
        <v>271</v>
      </c>
      <c r="D1583" s="185">
        <f>D1585+D1589+D1593</f>
        <v>639457</v>
      </c>
      <c r="E1583" s="494">
        <v>5186</v>
      </c>
      <c r="F1583" s="494">
        <v>0</v>
      </c>
      <c r="G1583" s="652">
        <f>G1585</f>
        <v>3335</v>
      </c>
      <c r="H1583" s="494">
        <f t="shared" si="145"/>
        <v>647978</v>
      </c>
      <c r="I1583" s="494">
        <v>644643</v>
      </c>
      <c r="J1583" s="494">
        <f t="shared" si="141"/>
        <v>5186</v>
      </c>
      <c r="K1583" s="945">
        <f t="shared" si="142"/>
        <v>8.1100058330739987E-3</v>
      </c>
      <c r="L1583" s="494">
        <f t="shared" si="143"/>
        <v>-3335</v>
      </c>
      <c r="M1583" s="945">
        <f t="shared" si="144"/>
        <v>-5.146779674618583E-3</v>
      </c>
    </row>
    <row r="1584" spans="1:13" x14ac:dyDescent="0.2">
      <c r="C1584" s="408" t="s">
        <v>196</v>
      </c>
      <c r="D1584" s="170"/>
      <c r="E1584" s="488"/>
      <c r="F1584" s="488">
        <v>0</v>
      </c>
      <c r="G1584" s="570">
        <v>0</v>
      </c>
      <c r="H1584" s="488">
        <f t="shared" si="145"/>
        <v>0</v>
      </c>
      <c r="I1584" s="488">
        <v>0</v>
      </c>
      <c r="J1584" s="488">
        <f t="shared" si="141"/>
        <v>0</v>
      </c>
      <c r="K1584" s="865"/>
      <c r="L1584" s="488">
        <f t="shared" si="143"/>
        <v>0</v>
      </c>
      <c r="M1584" s="865"/>
    </row>
    <row r="1585" spans="1:13" x14ac:dyDescent="0.2">
      <c r="C1585" s="378" t="s">
        <v>751</v>
      </c>
      <c r="D1585" s="202">
        <v>164547</v>
      </c>
      <c r="E1585" s="493"/>
      <c r="F1585" s="493">
        <v>0</v>
      </c>
      <c r="G1585" s="601">
        <v>3335</v>
      </c>
      <c r="H1585" s="493">
        <f t="shared" si="145"/>
        <v>167882</v>
      </c>
      <c r="I1585" s="493">
        <v>169460</v>
      </c>
      <c r="J1585" s="493">
        <f t="shared" si="141"/>
        <v>4913</v>
      </c>
      <c r="K1585" s="868">
        <f t="shared" si="142"/>
        <v>2.985773061799972E-2</v>
      </c>
      <c r="L1585" s="493">
        <f t="shared" si="143"/>
        <v>1578</v>
      </c>
      <c r="M1585" s="868">
        <f t="shared" si="144"/>
        <v>9.3994591439225169E-3</v>
      </c>
    </row>
    <row r="1586" spans="1:13" x14ac:dyDescent="0.2">
      <c r="C1586" s="103" t="s">
        <v>119</v>
      </c>
      <c r="D1586" s="489">
        <v>53852</v>
      </c>
      <c r="E1586" s="489"/>
      <c r="F1586" s="489">
        <v>0</v>
      </c>
      <c r="G1586" s="781">
        <v>2492</v>
      </c>
      <c r="H1586" s="489">
        <f t="shared" si="145"/>
        <v>56344</v>
      </c>
      <c r="I1586" s="489">
        <v>55287</v>
      </c>
      <c r="J1586" s="489">
        <f t="shared" si="141"/>
        <v>1435</v>
      </c>
      <c r="K1586" s="869">
        <f t="shared" si="142"/>
        <v>2.6647106885538143E-2</v>
      </c>
      <c r="L1586" s="489">
        <f t="shared" si="143"/>
        <v>-1057</v>
      </c>
      <c r="M1586" s="869">
        <f t="shared" si="144"/>
        <v>-1.8759761465284679E-2</v>
      </c>
    </row>
    <row r="1587" spans="1:13" s="56" customFormat="1" x14ac:dyDescent="0.2">
      <c r="A1587" s="503"/>
      <c r="B1587" s="503"/>
      <c r="C1587" s="311"/>
      <c r="D1587" s="201"/>
      <c r="E1587" s="491"/>
      <c r="F1587" s="490">
        <v>0</v>
      </c>
      <c r="G1587" s="612">
        <v>0</v>
      </c>
      <c r="H1587" s="490">
        <f t="shared" si="145"/>
        <v>0</v>
      </c>
      <c r="I1587" s="490">
        <v>0</v>
      </c>
      <c r="J1587" s="490">
        <f t="shared" si="141"/>
        <v>0</v>
      </c>
      <c r="K1587" s="914"/>
      <c r="L1587" s="490">
        <f t="shared" si="143"/>
        <v>0</v>
      </c>
      <c r="M1587" s="914"/>
    </row>
    <row r="1588" spans="1:13" x14ac:dyDescent="0.2">
      <c r="C1588" s="408" t="s">
        <v>196</v>
      </c>
      <c r="D1588" s="170"/>
      <c r="E1588" s="488"/>
      <c r="F1588" s="488">
        <v>0</v>
      </c>
      <c r="G1588" s="570">
        <v>0</v>
      </c>
      <c r="H1588" s="488">
        <f t="shared" si="145"/>
        <v>0</v>
      </c>
      <c r="I1588" s="488">
        <v>0</v>
      </c>
      <c r="J1588" s="488">
        <f t="shared" si="141"/>
        <v>0</v>
      </c>
      <c r="K1588" s="865"/>
      <c r="L1588" s="488">
        <f t="shared" si="143"/>
        <v>0</v>
      </c>
      <c r="M1588" s="865"/>
    </row>
    <row r="1589" spans="1:13" x14ac:dyDescent="0.2">
      <c r="C1589" s="378" t="s">
        <v>752</v>
      </c>
      <c r="D1589" s="202">
        <v>221708</v>
      </c>
      <c r="E1589" s="493">
        <v>4913</v>
      </c>
      <c r="F1589" s="493"/>
      <c r="G1589" s="601"/>
      <c r="H1589" s="493">
        <f t="shared" si="145"/>
        <v>226621</v>
      </c>
      <c r="I1589" s="493">
        <v>221981</v>
      </c>
      <c r="J1589" s="493">
        <f t="shared" si="141"/>
        <v>273</v>
      </c>
      <c r="K1589" s="868">
        <f t="shared" si="142"/>
        <v>1.2313493423782634E-3</v>
      </c>
      <c r="L1589" s="493">
        <f t="shared" si="143"/>
        <v>-4640</v>
      </c>
      <c r="M1589" s="868">
        <f t="shared" si="144"/>
        <v>-2.0474713287824166E-2</v>
      </c>
    </row>
    <row r="1590" spans="1:13" x14ac:dyDescent="0.2">
      <c r="C1590" s="103" t="s">
        <v>119</v>
      </c>
      <c r="D1590" s="489">
        <v>158361</v>
      </c>
      <c r="E1590" s="489">
        <v>3672</v>
      </c>
      <c r="F1590" s="489"/>
      <c r="G1590" s="567"/>
      <c r="H1590" s="489">
        <f t="shared" si="145"/>
        <v>162033</v>
      </c>
      <c r="I1590" s="489">
        <v>162021</v>
      </c>
      <c r="J1590" s="489">
        <f t="shared" si="141"/>
        <v>3660</v>
      </c>
      <c r="K1590" s="869">
        <f t="shared" si="142"/>
        <v>2.3111750999299071E-2</v>
      </c>
      <c r="L1590" s="489">
        <f t="shared" si="143"/>
        <v>-12</v>
      </c>
      <c r="M1590" s="869">
        <f t="shared" si="144"/>
        <v>-7.4058987983929194E-5</v>
      </c>
    </row>
    <row r="1591" spans="1:13" s="56" customFormat="1" x14ac:dyDescent="0.2">
      <c r="A1591" s="503"/>
      <c r="B1591" s="503"/>
      <c r="C1591" s="449"/>
      <c r="D1591" s="450"/>
      <c r="E1591" s="450"/>
      <c r="F1591" s="450">
        <v>0</v>
      </c>
      <c r="G1591" s="679">
        <v>0</v>
      </c>
      <c r="H1591" s="450">
        <f t="shared" si="145"/>
        <v>0</v>
      </c>
      <c r="I1591" s="450">
        <v>0</v>
      </c>
      <c r="J1591" s="450">
        <f t="shared" si="141"/>
        <v>0</v>
      </c>
      <c r="K1591" s="962"/>
      <c r="L1591" s="450">
        <f t="shared" si="143"/>
        <v>0</v>
      </c>
      <c r="M1591" s="962"/>
    </row>
    <row r="1592" spans="1:13" x14ac:dyDescent="0.2">
      <c r="C1592" s="408" t="s">
        <v>196</v>
      </c>
      <c r="D1592" s="170"/>
      <c r="E1592" s="170"/>
      <c r="F1592" s="488">
        <v>0</v>
      </c>
      <c r="G1592" s="570">
        <v>0</v>
      </c>
      <c r="H1592" s="488">
        <f t="shared" si="145"/>
        <v>0</v>
      </c>
      <c r="I1592" s="488">
        <v>0</v>
      </c>
      <c r="J1592" s="488">
        <f t="shared" ref="J1592:J1655" si="146">I1592-D1592</f>
        <v>0</v>
      </c>
      <c r="K1592" s="865"/>
      <c r="L1592" s="488">
        <f t="shared" ref="L1592:L1655" si="147">I1592-H1592</f>
        <v>0</v>
      </c>
      <c r="M1592" s="865"/>
    </row>
    <row r="1593" spans="1:13" x14ac:dyDescent="0.2">
      <c r="C1593" s="378" t="s">
        <v>753</v>
      </c>
      <c r="D1593" s="202">
        <v>253202</v>
      </c>
      <c r="E1593" s="493">
        <v>273</v>
      </c>
      <c r="F1593" s="493">
        <v>0</v>
      </c>
      <c r="G1593" s="601">
        <v>0</v>
      </c>
      <c r="H1593" s="493">
        <f t="shared" si="145"/>
        <v>253475</v>
      </c>
      <c r="I1593" s="493">
        <v>253202</v>
      </c>
      <c r="J1593" s="493">
        <f t="shared" si="146"/>
        <v>0</v>
      </c>
      <c r="K1593" s="868">
        <f t="shared" ref="K1593:K1655" si="148">J1593/D1593</f>
        <v>0</v>
      </c>
      <c r="L1593" s="493">
        <f t="shared" si="147"/>
        <v>-273</v>
      </c>
      <c r="M1593" s="868">
        <f t="shared" ref="M1593:M1655" si="149">L1593/H1593</f>
        <v>-1.0770292928296676E-3</v>
      </c>
    </row>
    <row r="1594" spans="1:13" x14ac:dyDescent="0.2">
      <c r="C1594" s="103" t="s">
        <v>119</v>
      </c>
      <c r="D1594" s="489">
        <v>121857</v>
      </c>
      <c r="E1594" s="489">
        <v>204</v>
      </c>
      <c r="F1594" s="489">
        <v>0</v>
      </c>
      <c r="G1594" s="567">
        <v>0</v>
      </c>
      <c r="H1594" s="489">
        <f t="shared" si="145"/>
        <v>122061</v>
      </c>
      <c r="I1594" s="489">
        <v>122688</v>
      </c>
      <c r="J1594" s="489">
        <f t="shared" si="146"/>
        <v>831</v>
      </c>
      <c r="K1594" s="869">
        <f t="shared" si="148"/>
        <v>6.8194687215342572E-3</v>
      </c>
      <c r="L1594" s="489">
        <f t="shared" si="147"/>
        <v>627</v>
      </c>
      <c r="M1594" s="869">
        <f t="shared" si="149"/>
        <v>5.1367758743579026E-3</v>
      </c>
    </row>
    <row r="1595" spans="1:13" x14ac:dyDescent="0.2">
      <c r="C1595" s="451"/>
      <c r="D1595" s="444"/>
      <c r="E1595" s="444"/>
      <c r="F1595" s="444">
        <v>0</v>
      </c>
      <c r="G1595" s="678">
        <v>0</v>
      </c>
      <c r="H1595" s="444">
        <f t="shared" si="145"/>
        <v>0</v>
      </c>
      <c r="I1595" s="444">
        <v>0</v>
      </c>
      <c r="J1595" s="444">
        <f t="shared" si="146"/>
        <v>0</v>
      </c>
      <c r="K1595" s="961"/>
      <c r="L1595" s="444">
        <f t="shared" si="147"/>
        <v>0</v>
      </c>
      <c r="M1595" s="961"/>
    </row>
    <row r="1596" spans="1:13" ht="15" x14ac:dyDescent="0.2">
      <c r="A1596" s="459" t="s">
        <v>870</v>
      </c>
      <c r="B1596" s="459" t="s">
        <v>280</v>
      </c>
      <c r="C1596" s="402" t="s">
        <v>267</v>
      </c>
      <c r="D1596" s="212">
        <f>D1597</f>
        <v>228000</v>
      </c>
      <c r="E1596" s="212"/>
      <c r="F1596" s="497">
        <v>0</v>
      </c>
      <c r="G1596" s="669">
        <v>0</v>
      </c>
      <c r="H1596" s="497">
        <f t="shared" si="145"/>
        <v>228000</v>
      </c>
      <c r="I1596" s="497">
        <v>228000</v>
      </c>
      <c r="J1596" s="497">
        <f t="shared" si="146"/>
        <v>0</v>
      </c>
      <c r="K1596" s="956">
        <f t="shared" si="148"/>
        <v>0</v>
      </c>
      <c r="L1596" s="497">
        <f t="shared" si="147"/>
        <v>0</v>
      </c>
      <c r="M1596" s="956">
        <f t="shared" si="149"/>
        <v>0</v>
      </c>
    </row>
    <row r="1597" spans="1:13" x14ac:dyDescent="0.2">
      <c r="C1597" s="292" t="s">
        <v>268</v>
      </c>
      <c r="D1597" s="118">
        <v>228000</v>
      </c>
      <c r="E1597" s="118"/>
      <c r="F1597" s="477">
        <v>0</v>
      </c>
      <c r="G1597" s="566">
        <v>0</v>
      </c>
      <c r="H1597" s="477">
        <f t="shared" si="145"/>
        <v>228000</v>
      </c>
      <c r="I1597" s="477">
        <v>228000</v>
      </c>
      <c r="J1597" s="477">
        <f t="shared" si="146"/>
        <v>0</v>
      </c>
      <c r="K1597" s="909">
        <f t="shared" si="148"/>
        <v>0</v>
      </c>
      <c r="L1597" s="477">
        <f t="shared" si="147"/>
        <v>0</v>
      </c>
      <c r="M1597" s="909">
        <f t="shared" si="149"/>
        <v>0</v>
      </c>
    </row>
    <row r="1598" spans="1:13" x14ac:dyDescent="0.2">
      <c r="C1598" s="95"/>
      <c r="D1598" s="182"/>
      <c r="E1598" s="182"/>
      <c r="F1598" s="491">
        <v>0</v>
      </c>
      <c r="G1598" s="571">
        <v>0</v>
      </c>
      <c r="H1598" s="491">
        <f t="shared" ref="H1598:H1661" si="150">D1598+E1598+F1598+G1598</f>
        <v>0</v>
      </c>
      <c r="I1598" s="491">
        <v>0</v>
      </c>
      <c r="J1598" s="491">
        <f t="shared" si="146"/>
        <v>0</v>
      </c>
      <c r="K1598" s="866"/>
      <c r="L1598" s="491">
        <f t="shared" si="147"/>
        <v>0</v>
      </c>
      <c r="M1598" s="866"/>
    </row>
    <row r="1599" spans="1:13" x14ac:dyDescent="0.2">
      <c r="C1599" s="117" t="s">
        <v>197</v>
      </c>
      <c r="D1599" s="200">
        <f>D1601++D1604+D1610+D1613+D1615+D1620+D1617+D1608+D1606</f>
        <v>1838539</v>
      </c>
      <c r="E1599" s="499">
        <f>E1601++E1604+E1610+E1613+E1615+E1620+E1617+E1608+E1606</f>
        <v>31963</v>
      </c>
      <c r="F1599" s="499">
        <f>F1601++F1604+F1610+F1613+F1615+F1620+F1617+F1608+F1606</f>
        <v>64286</v>
      </c>
      <c r="G1599" s="657">
        <f>G1601++G1604+G1610+G1613+G1615+G1620+G1617+G1608+G1606</f>
        <v>12909</v>
      </c>
      <c r="H1599" s="499">
        <f t="shared" si="150"/>
        <v>1947697</v>
      </c>
      <c r="I1599" s="499">
        <v>1965601</v>
      </c>
      <c r="J1599" s="499">
        <f t="shared" si="146"/>
        <v>127062</v>
      </c>
      <c r="K1599" s="948">
        <f t="shared" si="148"/>
        <v>6.9110309871044343E-2</v>
      </c>
      <c r="L1599" s="499">
        <f t="shared" si="147"/>
        <v>17904</v>
      </c>
      <c r="M1599" s="948">
        <f t="shared" si="149"/>
        <v>9.1923949156362626E-3</v>
      </c>
    </row>
    <row r="1600" spans="1:13" x14ac:dyDescent="0.2">
      <c r="C1600" s="117"/>
      <c r="D1600" s="200"/>
      <c r="E1600" s="200"/>
      <c r="F1600" s="499">
        <v>0</v>
      </c>
      <c r="G1600" s="657">
        <v>0</v>
      </c>
      <c r="H1600" s="499">
        <f t="shared" si="150"/>
        <v>0</v>
      </c>
      <c r="I1600" s="499">
        <v>0</v>
      </c>
      <c r="J1600" s="499">
        <f t="shared" si="146"/>
        <v>0</v>
      </c>
      <c r="K1600" s="948"/>
      <c r="L1600" s="499">
        <f t="shared" si="147"/>
        <v>0</v>
      </c>
      <c r="M1600" s="948"/>
    </row>
    <row r="1601" spans="1:13" x14ac:dyDescent="0.2">
      <c r="A1601" s="459" t="s">
        <v>862</v>
      </c>
      <c r="B1601" s="459" t="s">
        <v>280</v>
      </c>
      <c r="C1601" s="307" t="s">
        <v>272</v>
      </c>
      <c r="D1601" s="202">
        <v>1466004</v>
      </c>
      <c r="E1601" s="493">
        <v>31963</v>
      </c>
      <c r="F1601" s="493">
        <v>17786</v>
      </c>
      <c r="G1601" s="601">
        <v>-23291</v>
      </c>
      <c r="H1601" s="601">
        <f t="shared" si="150"/>
        <v>1492462</v>
      </c>
      <c r="I1601" s="601">
        <v>1515753</v>
      </c>
      <c r="J1601" s="601">
        <f t="shared" si="146"/>
        <v>49749</v>
      </c>
      <c r="K1601" s="757">
        <f t="shared" si="148"/>
        <v>3.3935105224815215E-2</v>
      </c>
      <c r="L1601" s="601">
        <f t="shared" si="147"/>
        <v>23291</v>
      </c>
      <c r="M1601" s="757">
        <f t="shared" si="149"/>
        <v>1.560575746652176E-2</v>
      </c>
    </row>
    <row r="1602" spans="1:13" x14ac:dyDescent="0.2">
      <c r="A1602" s="459"/>
      <c r="B1602" s="459"/>
      <c r="C1602" s="308" t="s">
        <v>119</v>
      </c>
      <c r="D1602" s="489">
        <v>836886</v>
      </c>
      <c r="E1602" s="489">
        <v>23888</v>
      </c>
      <c r="F1602" s="489">
        <v>13293</v>
      </c>
      <c r="G1602" s="781">
        <v>-17457</v>
      </c>
      <c r="H1602" s="567">
        <f t="shared" si="150"/>
        <v>856610</v>
      </c>
      <c r="I1602" s="567">
        <v>901378</v>
      </c>
      <c r="J1602" s="567">
        <f t="shared" si="146"/>
        <v>64492</v>
      </c>
      <c r="K1602" s="878">
        <f t="shared" si="148"/>
        <v>7.7061869836512975E-2</v>
      </c>
      <c r="L1602" s="567">
        <f t="shared" si="147"/>
        <v>44768</v>
      </c>
      <c r="M1602" s="878">
        <f t="shared" si="149"/>
        <v>5.2261822766486499E-2</v>
      </c>
    </row>
    <row r="1603" spans="1:13" x14ac:dyDescent="0.2">
      <c r="A1603" s="459"/>
      <c r="B1603" s="459"/>
      <c r="C1603" s="421"/>
      <c r="D1603" s="215"/>
      <c r="E1603" s="215"/>
      <c r="F1603" s="482">
        <v>0</v>
      </c>
      <c r="G1603" s="609">
        <v>0</v>
      </c>
      <c r="H1603" s="609">
        <f t="shared" si="150"/>
        <v>0</v>
      </c>
      <c r="I1603" s="609">
        <v>0</v>
      </c>
      <c r="J1603" s="609">
        <f t="shared" si="146"/>
        <v>0</v>
      </c>
      <c r="K1603" s="932"/>
      <c r="L1603" s="609">
        <f t="shared" si="147"/>
        <v>0</v>
      </c>
      <c r="M1603" s="932"/>
    </row>
    <row r="1604" spans="1:13" x14ac:dyDescent="0.2">
      <c r="A1604" s="459" t="s">
        <v>864</v>
      </c>
      <c r="B1604" s="459" t="s">
        <v>280</v>
      </c>
      <c r="C1604" s="410" t="s">
        <v>510</v>
      </c>
      <c r="D1604" s="213">
        <f>30170+3600</f>
        <v>33770</v>
      </c>
      <c r="E1604" s="213"/>
      <c r="F1604" s="213">
        <v>0</v>
      </c>
      <c r="G1604" s="613">
        <v>25000</v>
      </c>
      <c r="H1604" s="613">
        <f t="shared" si="150"/>
        <v>58770</v>
      </c>
      <c r="I1604" s="613">
        <v>65970</v>
      </c>
      <c r="J1604" s="613">
        <f t="shared" si="146"/>
        <v>32200</v>
      </c>
      <c r="K1604" s="825">
        <f t="shared" si="148"/>
        <v>0.9535090316849274</v>
      </c>
      <c r="L1604" s="613">
        <f t="shared" si="147"/>
        <v>7200</v>
      </c>
      <c r="M1604" s="825">
        <f t="shared" si="149"/>
        <v>0.1225114854517611</v>
      </c>
    </row>
    <row r="1605" spans="1:13" x14ac:dyDescent="0.2">
      <c r="A1605" s="459"/>
      <c r="B1605" s="459"/>
      <c r="C1605" s="410"/>
      <c r="D1605" s="213"/>
      <c r="E1605" s="213"/>
      <c r="F1605" s="213">
        <v>0</v>
      </c>
      <c r="G1605" s="613">
        <v>0</v>
      </c>
      <c r="H1605" s="613">
        <f t="shared" si="150"/>
        <v>0</v>
      </c>
      <c r="I1605" s="613">
        <v>0</v>
      </c>
      <c r="J1605" s="613">
        <f t="shared" si="146"/>
        <v>0</v>
      </c>
      <c r="K1605" s="825"/>
      <c r="L1605" s="613">
        <f t="shared" si="147"/>
        <v>0</v>
      </c>
      <c r="M1605" s="825"/>
    </row>
    <row r="1606" spans="1:13" x14ac:dyDescent="0.2">
      <c r="A1606" s="459" t="s">
        <v>864</v>
      </c>
      <c r="B1606" s="459" t="s">
        <v>280</v>
      </c>
      <c r="C1606" s="410" t="s">
        <v>238</v>
      </c>
      <c r="D1606" s="213">
        <v>5000</v>
      </c>
      <c r="E1606" s="213"/>
      <c r="F1606" s="213">
        <v>2500</v>
      </c>
      <c r="G1606" s="613"/>
      <c r="H1606" s="613">
        <f t="shared" si="150"/>
        <v>7500</v>
      </c>
      <c r="I1606" s="613">
        <v>7500</v>
      </c>
      <c r="J1606" s="613">
        <f t="shared" si="146"/>
        <v>2500</v>
      </c>
      <c r="K1606" s="825">
        <f t="shared" si="148"/>
        <v>0.5</v>
      </c>
      <c r="L1606" s="613">
        <f t="shared" si="147"/>
        <v>0</v>
      </c>
      <c r="M1606" s="825">
        <f t="shared" si="149"/>
        <v>0</v>
      </c>
    </row>
    <row r="1607" spans="1:13" x14ac:dyDescent="0.2">
      <c r="A1607" s="459"/>
      <c r="B1607" s="459"/>
      <c r="C1607" s="410"/>
      <c r="D1607" s="213"/>
      <c r="E1607" s="213"/>
      <c r="F1607" s="213">
        <v>0</v>
      </c>
      <c r="G1607" s="613">
        <v>0</v>
      </c>
      <c r="H1607" s="613">
        <f t="shared" si="150"/>
        <v>0</v>
      </c>
      <c r="I1607" s="613">
        <v>0</v>
      </c>
      <c r="J1607" s="613">
        <f t="shared" si="146"/>
        <v>0</v>
      </c>
      <c r="K1607" s="825"/>
      <c r="L1607" s="613">
        <f t="shared" si="147"/>
        <v>0</v>
      </c>
      <c r="M1607" s="825"/>
    </row>
    <row r="1608" spans="1:13" x14ac:dyDescent="0.2">
      <c r="A1608" s="459" t="s">
        <v>866</v>
      </c>
      <c r="B1608" s="459" t="s">
        <v>280</v>
      </c>
      <c r="C1608" s="410" t="s">
        <v>273</v>
      </c>
      <c r="D1608" s="213">
        <v>20000</v>
      </c>
      <c r="E1608" s="213"/>
      <c r="F1608" s="213">
        <v>0</v>
      </c>
      <c r="G1608" s="613">
        <v>0</v>
      </c>
      <c r="H1608" s="613">
        <f t="shared" si="150"/>
        <v>20000</v>
      </c>
      <c r="I1608" s="613">
        <v>20000</v>
      </c>
      <c r="J1608" s="613">
        <f t="shared" si="146"/>
        <v>0</v>
      </c>
      <c r="K1608" s="825">
        <f t="shared" si="148"/>
        <v>0</v>
      </c>
      <c r="L1608" s="613">
        <f t="shared" si="147"/>
        <v>0</v>
      </c>
      <c r="M1608" s="825">
        <f t="shared" si="149"/>
        <v>0</v>
      </c>
    </row>
    <row r="1609" spans="1:13" x14ac:dyDescent="0.2">
      <c r="A1609" s="459"/>
      <c r="B1609" s="459"/>
      <c r="C1609" s="338"/>
      <c r="D1609" s="179"/>
      <c r="E1609" s="179"/>
      <c r="F1609" s="179">
        <v>0</v>
      </c>
      <c r="G1609" s="577">
        <v>0</v>
      </c>
      <c r="H1609" s="577">
        <f t="shared" si="150"/>
        <v>0</v>
      </c>
      <c r="I1609" s="577">
        <v>0</v>
      </c>
      <c r="J1609" s="577">
        <f t="shared" si="146"/>
        <v>0</v>
      </c>
      <c r="K1609" s="757"/>
      <c r="L1609" s="577">
        <f t="shared" si="147"/>
        <v>0</v>
      </c>
      <c r="M1609" s="757"/>
    </row>
    <row r="1610" spans="1:13" x14ac:dyDescent="0.2">
      <c r="A1610" s="459" t="s">
        <v>870</v>
      </c>
      <c r="B1610" s="459" t="s">
        <v>280</v>
      </c>
      <c r="C1610" s="315" t="s">
        <v>269</v>
      </c>
      <c r="D1610" s="197">
        <f>99297+4052</f>
        <v>103349</v>
      </c>
      <c r="E1610" s="197"/>
      <c r="F1610" s="496">
        <v>30000</v>
      </c>
      <c r="G1610" s="613">
        <v>5000</v>
      </c>
      <c r="H1610" s="613">
        <f t="shared" si="150"/>
        <v>138349</v>
      </c>
      <c r="I1610" s="613">
        <v>133349</v>
      </c>
      <c r="J1610" s="613">
        <f t="shared" si="146"/>
        <v>30000</v>
      </c>
      <c r="K1610" s="825">
        <f t="shared" si="148"/>
        <v>0.29027857066831803</v>
      </c>
      <c r="L1610" s="613">
        <f t="shared" si="147"/>
        <v>-5000</v>
      </c>
      <c r="M1610" s="825">
        <f t="shared" si="149"/>
        <v>-3.6140485294436531E-2</v>
      </c>
    </row>
    <row r="1611" spans="1:13" x14ac:dyDescent="0.2">
      <c r="A1611" s="459"/>
      <c r="B1611" s="459"/>
      <c r="C1611" s="308" t="s">
        <v>119</v>
      </c>
      <c r="D1611" s="489">
        <v>14016</v>
      </c>
      <c r="E1611" s="145"/>
      <c r="F1611" s="489">
        <v>0</v>
      </c>
      <c r="G1611" s="567">
        <v>0</v>
      </c>
      <c r="H1611" s="567">
        <f t="shared" si="150"/>
        <v>14016</v>
      </c>
      <c r="I1611" s="567">
        <v>14016</v>
      </c>
      <c r="J1611" s="567">
        <f t="shared" si="146"/>
        <v>0</v>
      </c>
      <c r="K1611" s="878">
        <f t="shared" si="148"/>
        <v>0</v>
      </c>
      <c r="L1611" s="567">
        <f t="shared" si="147"/>
        <v>0</v>
      </c>
      <c r="M1611" s="878">
        <f t="shared" si="149"/>
        <v>0</v>
      </c>
    </row>
    <row r="1612" spans="1:13" x14ac:dyDescent="0.2">
      <c r="A1612" s="459"/>
      <c r="B1612" s="459"/>
      <c r="C1612" s="315"/>
      <c r="D1612" s="197"/>
      <c r="E1612" s="197"/>
      <c r="F1612" s="496">
        <v>0</v>
      </c>
      <c r="G1612" s="613">
        <v>0</v>
      </c>
      <c r="H1612" s="613">
        <f t="shared" si="150"/>
        <v>0</v>
      </c>
      <c r="I1612" s="613">
        <v>0</v>
      </c>
      <c r="J1612" s="613">
        <f t="shared" si="146"/>
        <v>0</v>
      </c>
      <c r="K1612" s="825"/>
      <c r="L1612" s="613">
        <f t="shared" si="147"/>
        <v>0</v>
      </c>
      <c r="M1612" s="825"/>
    </row>
    <row r="1613" spans="1:13" x14ac:dyDescent="0.2">
      <c r="A1613" s="459" t="s">
        <v>869</v>
      </c>
      <c r="B1613" s="459" t="s">
        <v>280</v>
      </c>
      <c r="C1613" s="104" t="s">
        <v>275</v>
      </c>
      <c r="D1613" s="172">
        <v>1905</v>
      </c>
      <c r="E1613" s="172"/>
      <c r="F1613" s="172">
        <v>0</v>
      </c>
      <c r="G1613" s="574">
        <v>1500</v>
      </c>
      <c r="H1613" s="574">
        <f t="shared" si="150"/>
        <v>3405</v>
      </c>
      <c r="I1613" s="574">
        <v>1905</v>
      </c>
      <c r="J1613" s="574">
        <f t="shared" si="146"/>
        <v>0</v>
      </c>
      <c r="K1613" s="757">
        <f t="shared" si="148"/>
        <v>0</v>
      </c>
      <c r="L1613" s="574">
        <f t="shared" si="147"/>
        <v>-1500</v>
      </c>
      <c r="M1613" s="757">
        <f t="shared" si="149"/>
        <v>-0.44052863436123346</v>
      </c>
    </row>
    <row r="1614" spans="1:13" x14ac:dyDescent="0.2">
      <c r="A1614" s="459"/>
      <c r="B1614" s="459"/>
      <c r="C1614" s="320"/>
      <c r="D1614" s="146"/>
      <c r="E1614" s="146"/>
      <c r="F1614" s="498">
        <v>0</v>
      </c>
      <c r="G1614" s="577">
        <v>0</v>
      </c>
      <c r="H1614" s="577">
        <f t="shared" si="150"/>
        <v>0</v>
      </c>
      <c r="I1614" s="577">
        <v>0</v>
      </c>
      <c r="J1614" s="577">
        <f t="shared" si="146"/>
        <v>0</v>
      </c>
      <c r="K1614" s="757"/>
      <c r="L1614" s="577">
        <f t="shared" si="147"/>
        <v>0</v>
      </c>
      <c r="M1614" s="757"/>
    </row>
    <row r="1615" spans="1:13" x14ac:dyDescent="0.2">
      <c r="A1615" s="459" t="s">
        <v>869</v>
      </c>
      <c r="B1615" s="459" t="s">
        <v>280</v>
      </c>
      <c r="C1615" s="104" t="s">
        <v>252</v>
      </c>
      <c r="D1615" s="172">
        <v>75000</v>
      </c>
      <c r="E1615" s="172"/>
      <c r="F1615" s="172">
        <v>0</v>
      </c>
      <c r="G1615" s="574">
        <v>9700</v>
      </c>
      <c r="H1615" s="574">
        <f t="shared" si="150"/>
        <v>84700</v>
      </c>
      <c r="I1615" s="574">
        <v>75000</v>
      </c>
      <c r="J1615" s="574">
        <f t="shared" si="146"/>
        <v>0</v>
      </c>
      <c r="K1615" s="757">
        <f t="shared" si="148"/>
        <v>0</v>
      </c>
      <c r="L1615" s="574">
        <f t="shared" si="147"/>
        <v>-9700</v>
      </c>
      <c r="M1615" s="757">
        <f t="shared" si="149"/>
        <v>-0.11452184179456906</v>
      </c>
    </row>
    <row r="1616" spans="1:13" x14ac:dyDescent="0.2">
      <c r="A1616" s="459"/>
      <c r="B1616" s="459"/>
      <c r="C1616" s="104"/>
      <c r="D1616" s="172"/>
      <c r="E1616" s="172"/>
      <c r="F1616" s="172">
        <v>0</v>
      </c>
      <c r="G1616" s="574">
        <v>0</v>
      </c>
      <c r="H1616" s="574">
        <f t="shared" si="150"/>
        <v>0</v>
      </c>
      <c r="I1616" s="574">
        <v>0</v>
      </c>
      <c r="J1616" s="574">
        <f t="shared" si="146"/>
        <v>0</v>
      </c>
      <c r="K1616" s="757"/>
      <c r="L1616" s="574">
        <f t="shared" si="147"/>
        <v>0</v>
      </c>
      <c r="M1616" s="757"/>
    </row>
    <row r="1617" spans="1:13" x14ac:dyDescent="0.2">
      <c r="A1617" s="459" t="s">
        <v>869</v>
      </c>
      <c r="B1617" s="459" t="s">
        <v>280</v>
      </c>
      <c r="C1617" s="315" t="s">
        <v>417</v>
      </c>
      <c r="D1617" s="197">
        <v>123511</v>
      </c>
      <c r="E1617" s="197"/>
      <c r="F1617" s="496">
        <v>14000</v>
      </c>
      <c r="G1617" s="613"/>
      <c r="H1617" s="613">
        <f t="shared" si="150"/>
        <v>137511</v>
      </c>
      <c r="I1617" s="613">
        <v>136124</v>
      </c>
      <c r="J1617" s="613">
        <f t="shared" si="146"/>
        <v>12613</v>
      </c>
      <c r="K1617" s="825">
        <f t="shared" si="148"/>
        <v>0.10212045890649415</v>
      </c>
      <c r="L1617" s="613">
        <f t="shared" si="147"/>
        <v>-1387</v>
      </c>
      <c r="M1617" s="825">
        <f t="shared" si="149"/>
        <v>-1.0086465810007926E-2</v>
      </c>
    </row>
    <row r="1618" spans="1:13" x14ac:dyDescent="0.2">
      <c r="C1618" s="389" t="s">
        <v>119</v>
      </c>
      <c r="D1618" s="495">
        <v>53196</v>
      </c>
      <c r="E1618" s="196"/>
      <c r="F1618" s="495">
        <v>0</v>
      </c>
      <c r="G1618" s="568">
        <v>0</v>
      </c>
      <c r="H1618" s="568">
        <f t="shared" si="150"/>
        <v>53196</v>
      </c>
      <c r="I1618" s="568">
        <v>53196</v>
      </c>
      <c r="J1618" s="568">
        <f t="shared" si="146"/>
        <v>0</v>
      </c>
      <c r="K1618" s="882">
        <f t="shared" si="148"/>
        <v>0</v>
      </c>
      <c r="L1618" s="568">
        <f t="shared" si="147"/>
        <v>0</v>
      </c>
      <c r="M1618" s="882">
        <f t="shared" si="149"/>
        <v>0</v>
      </c>
    </row>
    <row r="1619" spans="1:13" x14ac:dyDescent="0.2">
      <c r="C1619" s="315"/>
      <c r="D1619" s="197"/>
      <c r="E1619" s="197"/>
      <c r="F1619" s="496">
        <v>0</v>
      </c>
      <c r="G1619" s="613">
        <v>0</v>
      </c>
      <c r="H1619" s="613">
        <f t="shared" si="150"/>
        <v>0</v>
      </c>
      <c r="I1619" s="613">
        <v>0</v>
      </c>
      <c r="J1619" s="613">
        <f t="shared" si="146"/>
        <v>0</v>
      </c>
      <c r="K1619" s="825"/>
      <c r="L1619" s="613">
        <f t="shared" si="147"/>
        <v>0</v>
      </c>
      <c r="M1619" s="825"/>
    </row>
    <row r="1620" spans="1:13" x14ac:dyDescent="0.2">
      <c r="A1620" s="459" t="s">
        <v>883</v>
      </c>
      <c r="B1620" s="459" t="s">
        <v>280</v>
      </c>
      <c r="C1620" s="104" t="s">
        <v>276</v>
      </c>
      <c r="D1620" s="172">
        <v>10000</v>
      </c>
      <c r="E1620" s="172"/>
      <c r="F1620" s="172">
        <v>0</v>
      </c>
      <c r="G1620" s="574">
        <v>-5000</v>
      </c>
      <c r="H1620" s="574">
        <f t="shared" si="150"/>
        <v>5000</v>
      </c>
      <c r="I1620" s="574">
        <v>10000</v>
      </c>
      <c r="J1620" s="574">
        <f t="shared" si="146"/>
        <v>0</v>
      </c>
      <c r="K1620" s="757">
        <f t="shared" si="148"/>
        <v>0</v>
      </c>
      <c r="L1620" s="574">
        <f t="shared" si="147"/>
        <v>5000</v>
      </c>
      <c r="M1620" s="757">
        <f t="shared" si="149"/>
        <v>1</v>
      </c>
    </row>
    <row r="1621" spans="1:13" x14ac:dyDescent="0.2">
      <c r="C1621" s="104"/>
      <c r="D1621" s="172"/>
      <c r="E1621" s="172"/>
      <c r="F1621" s="172">
        <v>0</v>
      </c>
      <c r="G1621"/>
      <c r="H1621" s="172">
        <f t="shared" si="150"/>
        <v>0</v>
      </c>
      <c r="I1621" s="172">
        <v>0</v>
      </c>
      <c r="J1621" s="172">
        <f t="shared" si="146"/>
        <v>0</v>
      </c>
      <c r="K1621" s="524"/>
      <c r="L1621" s="172">
        <f t="shared" si="147"/>
        <v>0</v>
      </c>
      <c r="M1621" s="524"/>
    </row>
    <row r="1622" spans="1:13" x14ac:dyDescent="0.2">
      <c r="C1622" s="104"/>
      <c r="D1622" s="172"/>
      <c r="E1622" s="172"/>
      <c r="F1622" s="172">
        <v>0</v>
      </c>
      <c r="G1622" s="172"/>
      <c r="H1622" s="172">
        <f t="shared" si="150"/>
        <v>0</v>
      </c>
      <c r="I1622" s="172">
        <v>0</v>
      </c>
      <c r="J1622" s="172">
        <f t="shared" si="146"/>
        <v>0</v>
      </c>
      <c r="K1622" s="524"/>
      <c r="L1622" s="172">
        <f t="shared" si="147"/>
        <v>0</v>
      </c>
      <c r="M1622" s="524"/>
    </row>
    <row r="1623" spans="1:13" ht="15.75" x14ac:dyDescent="0.2">
      <c r="C1623" s="289" t="s">
        <v>281</v>
      </c>
      <c r="D1623" s="176"/>
      <c r="E1623" s="176"/>
      <c r="F1623" s="176">
        <v>0</v>
      </c>
      <c r="G1623" s="176"/>
      <c r="H1623" s="176">
        <f t="shared" si="150"/>
        <v>0</v>
      </c>
      <c r="I1623" s="176">
        <v>0</v>
      </c>
      <c r="J1623" s="176">
        <f t="shared" si="146"/>
        <v>0</v>
      </c>
      <c r="K1623" s="906"/>
      <c r="L1623" s="176">
        <f t="shared" si="147"/>
        <v>0</v>
      </c>
      <c r="M1623" s="906"/>
    </row>
    <row r="1624" spans="1:13" x14ac:dyDescent="0.2">
      <c r="C1624" s="108"/>
      <c r="D1624" s="179"/>
      <c r="E1624" s="179"/>
      <c r="F1624" s="179">
        <v>0</v>
      </c>
      <c r="G1624" s="179"/>
      <c r="H1624" s="179">
        <f t="shared" si="150"/>
        <v>0</v>
      </c>
      <c r="I1624" s="179">
        <v>0</v>
      </c>
      <c r="J1624" s="179">
        <f t="shared" si="146"/>
        <v>0</v>
      </c>
      <c r="K1624" s="542"/>
      <c r="L1624" s="179">
        <f t="shared" si="147"/>
        <v>0</v>
      </c>
      <c r="M1624" s="542"/>
    </row>
    <row r="1625" spans="1:13" x14ac:dyDescent="0.2">
      <c r="C1625" s="100" t="s">
        <v>193</v>
      </c>
      <c r="D1625" s="170">
        <f>D1632+D1636+D1642+D1652+D1655</f>
        <v>2304789</v>
      </c>
      <c r="E1625" s="488">
        <f>E1632+E1636+E1642+E1652+E1655</f>
        <v>13947</v>
      </c>
      <c r="F1625" s="488">
        <f>F1632+F1636+F1642+F1652+F1655</f>
        <v>-33467</v>
      </c>
      <c r="G1625" s="570">
        <f>G1632+G1636+G1642+G1652+G1655</f>
        <v>-5777</v>
      </c>
      <c r="H1625" s="488">
        <f t="shared" si="150"/>
        <v>2279492</v>
      </c>
      <c r="I1625" s="488">
        <v>2301932</v>
      </c>
      <c r="J1625" s="488">
        <f t="shared" si="146"/>
        <v>-2857</v>
      </c>
      <c r="K1625" s="865">
        <f t="shared" si="148"/>
        <v>-1.2395928651169369E-3</v>
      </c>
      <c r="L1625" s="488">
        <f t="shared" si="147"/>
        <v>22440</v>
      </c>
      <c r="M1625" s="865">
        <f t="shared" si="149"/>
        <v>9.8442986419781248E-3</v>
      </c>
    </row>
    <row r="1626" spans="1:13" s="6" customFormat="1" x14ac:dyDescent="0.2">
      <c r="A1626" s="503"/>
      <c r="B1626" s="503"/>
      <c r="C1626" s="101" t="s">
        <v>479</v>
      </c>
      <c r="D1626" s="182">
        <v>191000</v>
      </c>
      <c r="E1626" s="491"/>
      <c r="F1626" s="491"/>
      <c r="G1626" s="571">
        <v>480</v>
      </c>
      <c r="H1626" s="491">
        <f t="shared" si="150"/>
        <v>191480</v>
      </c>
      <c r="I1626" s="491">
        <v>191480</v>
      </c>
      <c r="J1626" s="491">
        <f t="shared" si="146"/>
        <v>480</v>
      </c>
      <c r="K1626" s="866">
        <f t="shared" si="148"/>
        <v>2.5130890052356019E-3</v>
      </c>
      <c r="L1626" s="491">
        <f t="shared" si="147"/>
        <v>0</v>
      </c>
      <c r="M1626" s="866">
        <f t="shared" si="149"/>
        <v>0</v>
      </c>
    </row>
    <row r="1627" spans="1:13" x14ac:dyDescent="0.2">
      <c r="C1627" s="107" t="s">
        <v>116</v>
      </c>
      <c r="D1627" s="183">
        <f>D1628+D1629</f>
        <v>2304789</v>
      </c>
      <c r="E1627" s="183">
        <f>E1628+E1629</f>
        <v>13947</v>
      </c>
      <c r="F1627" s="183">
        <f>F1628+F1629</f>
        <v>-33467</v>
      </c>
      <c r="G1627" s="570">
        <f>G1628+G1629</f>
        <v>-5777</v>
      </c>
      <c r="H1627" s="183">
        <f t="shared" si="150"/>
        <v>2279492</v>
      </c>
      <c r="I1627" s="183">
        <v>2301932</v>
      </c>
      <c r="J1627" s="183">
        <f t="shared" si="146"/>
        <v>-2857</v>
      </c>
      <c r="K1627" s="528">
        <f t="shared" si="148"/>
        <v>-1.2395928651169369E-3</v>
      </c>
      <c r="L1627" s="183">
        <f t="shared" si="147"/>
        <v>22440</v>
      </c>
      <c r="M1627" s="528">
        <f t="shared" si="149"/>
        <v>9.8442986419781248E-3</v>
      </c>
    </row>
    <row r="1628" spans="1:13" x14ac:dyDescent="0.2">
      <c r="C1628" s="102" t="s">
        <v>117</v>
      </c>
      <c r="D1628" s="182">
        <f>'2.2 OMATULUD'!B707</f>
        <v>284545</v>
      </c>
      <c r="E1628" s="491"/>
      <c r="F1628" s="491">
        <v>-42540</v>
      </c>
      <c r="G1628" s="571">
        <v>-17050</v>
      </c>
      <c r="H1628" s="491">
        <f t="shared" si="150"/>
        <v>224955</v>
      </c>
      <c r="I1628" s="491">
        <v>268940</v>
      </c>
      <c r="J1628" s="491">
        <f t="shared" si="146"/>
        <v>-15605</v>
      </c>
      <c r="K1628" s="866">
        <f t="shared" si="148"/>
        <v>-5.4841940642077702E-2</v>
      </c>
      <c r="L1628" s="491">
        <f t="shared" si="147"/>
        <v>43985</v>
      </c>
      <c r="M1628" s="866">
        <f t="shared" si="149"/>
        <v>0.19552799448778643</v>
      </c>
    </row>
    <row r="1629" spans="1:13" x14ac:dyDescent="0.2">
      <c r="C1629" s="95" t="s">
        <v>118</v>
      </c>
      <c r="D1629" s="182">
        <f>D1625-D1628</f>
        <v>2020244</v>
      </c>
      <c r="E1629" s="491">
        <f>E1625-E1628</f>
        <v>13947</v>
      </c>
      <c r="F1629" s="491">
        <f>F1625-F1628</f>
        <v>9073</v>
      </c>
      <c r="G1629" s="571">
        <f>G1625-G1628</f>
        <v>11273</v>
      </c>
      <c r="H1629" s="491">
        <f t="shared" si="150"/>
        <v>2054537</v>
      </c>
      <c r="I1629" s="491">
        <v>2032992</v>
      </c>
      <c r="J1629" s="491">
        <f t="shared" si="146"/>
        <v>12748</v>
      </c>
      <c r="K1629" s="866">
        <f t="shared" si="148"/>
        <v>6.3101288755219665E-3</v>
      </c>
      <c r="L1629" s="491">
        <f t="shared" si="147"/>
        <v>-21545</v>
      </c>
      <c r="M1629" s="866">
        <f t="shared" si="149"/>
        <v>-1.0486547577386049E-2</v>
      </c>
    </row>
    <row r="1630" spans="1:13" x14ac:dyDescent="0.2">
      <c r="A1630" s="459"/>
      <c r="B1630" s="459"/>
      <c r="C1630" s="473" t="s">
        <v>909</v>
      </c>
      <c r="D1630" s="474">
        <f>D1634+D1640+D1646+D1650+D1658</f>
        <v>887756</v>
      </c>
      <c r="E1630" s="474">
        <f>E1634+E1640+E1646+E1650+E1658</f>
        <v>10424</v>
      </c>
      <c r="F1630" s="474">
        <f>F1634+F1640+F1646+F1650+F1658</f>
        <v>4188</v>
      </c>
      <c r="G1630" s="572">
        <f>G1634+G1640+G1646+G1650+G1658</f>
        <v>-9055</v>
      </c>
      <c r="H1630" s="474">
        <f t="shared" si="150"/>
        <v>893313</v>
      </c>
      <c r="I1630" s="474">
        <v>911240</v>
      </c>
      <c r="J1630" s="474">
        <f t="shared" si="146"/>
        <v>23484</v>
      </c>
      <c r="K1630" s="867">
        <f t="shared" si="148"/>
        <v>2.6453214622035783E-2</v>
      </c>
      <c r="L1630" s="474">
        <f t="shared" si="147"/>
        <v>17927</v>
      </c>
      <c r="M1630" s="867">
        <f t="shared" si="149"/>
        <v>2.0067994084939995E-2</v>
      </c>
    </row>
    <row r="1631" spans="1:13" s="56" customFormat="1" x14ac:dyDescent="0.2">
      <c r="A1631" s="503"/>
      <c r="B1631" s="503"/>
      <c r="C1631" s="95"/>
      <c r="D1631" s="182"/>
      <c r="E1631" s="182"/>
      <c r="F1631" s="503"/>
      <c r="G1631" s="503"/>
      <c r="H1631" s="491">
        <f t="shared" si="150"/>
        <v>0</v>
      </c>
      <c r="I1631" s="491">
        <v>0</v>
      </c>
      <c r="J1631" s="491">
        <f t="shared" si="146"/>
        <v>0</v>
      </c>
      <c r="K1631" s="866"/>
      <c r="L1631" s="491">
        <f t="shared" si="147"/>
        <v>0</v>
      </c>
      <c r="M1631" s="866"/>
    </row>
    <row r="1632" spans="1:13" ht="15" x14ac:dyDescent="0.2">
      <c r="A1632" s="459" t="s">
        <v>864</v>
      </c>
      <c r="B1632" s="459" t="s">
        <v>281</v>
      </c>
      <c r="C1632" s="402" t="s">
        <v>198</v>
      </c>
      <c r="D1632" s="212">
        <f>D1633</f>
        <v>229720</v>
      </c>
      <c r="E1632" s="212"/>
      <c r="F1632" s="497">
        <f>F1633</f>
        <v>-8150</v>
      </c>
      <c r="G1632" s="669">
        <f>G1633</f>
        <v>0</v>
      </c>
      <c r="H1632" s="497">
        <f t="shared" si="150"/>
        <v>221570</v>
      </c>
      <c r="I1632" s="497">
        <v>217020</v>
      </c>
      <c r="J1632" s="497">
        <f t="shared" si="146"/>
        <v>-12700</v>
      </c>
      <c r="K1632" s="956">
        <f t="shared" si="148"/>
        <v>-5.5284694410586803E-2</v>
      </c>
      <c r="L1632" s="497">
        <f t="shared" si="147"/>
        <v>-4550</v>
      </c>
      <c r="M1632" s="956">
        <f t="shared" si="149"/>
        <v>-2.0535271020445008E-2</v>
      </c>
    </row>
    <row r="1633" spans="1:13" x14ac:dyDescent="0.2">
      <c r="A1633" s="459"/>
      <c r="B1633" s="459"/>
      <c r="C1633" s="292" t="s">
        <v>754</v>
      </c>
      <c r="D1633" s="118">
        <v>229720</v>
      </c>
      <c r="E1633" s="118"/>
      <c r="F1633" s="477">
        <v>-8150</v>
      </c>
      <c r="G1633" s="566"/>
      <c r="H1633" s="477">
        <f t="shared" si="150"/>
        <v>221570</v>
      </c>
      <c r="I1633" s="477">
        <v>217020</v>
      </c>
      <c r="J1633" s="477">
        <f t="shared" si="146"/>
        <v>-12700</v>
      </c>
      <c r="K1633" s="909">
        <f t="shared" si="148"/>
        <v>-5.5284694410586803E-2</v>
      </c>
      <c r="L1633" s="477">
        <f t="shared" si="147"/>
        <v>-4550</v>
      </c>
      <c r="M1633" s="909">
        <f t="shared" si="149"/>
        <v>-2.0535271020445008E-2</v>
      </c>
    </row>
    <row r="1634" spans="1:13" x14ac:dyDescent="0.2">
      <c r="A1634" s="459"/>
      <c r="B1634" s="459"/>
      <c r="C1634" s="98" t="s">
        <v>119</v>
      </c>
      <c r="D1634" s="489">
        <v>112718</v>
      </c>
      <c r="E1634" s="145"/>
      <c r="F1634" s="489">
        <v>0</v>
      </c>
      <c r="G1634" s="567">
        <v>0</v>
      </c>
      <c r="H1634" s="489">
        <f t="shared" si="150"/>
        <v>112718</v>
      </c>
      <c r="I1634" s="489">
        <v>112718</v>
      </c>
      <c r="J1634" s="489">
        <f t="shared" si="146"/>
        <v>0</v>
      </c>
      <c r="K1634" s="869">
        <f t="shared" si="148"/>
        <v>0</v>
      </c>
      <c r="L1634" s="489">
        <f t="shared" si="147"/>
        <v>0</v>
      </c>
      <c r="M1634" s="869">
        <f t="shared" si="149"/>
        <v>0</v>
      </c>
    </row>
    <row r="1635" spans="1:13" x14ac:dyDescent="0.2">
      <c r="A1635" s="459"/>
      <c r="B1635" s="459"/>
      <c r="C1635" s="357"/>
      <c r="D1635" s="195"/>
      <c r="E1635" s="195"/>
      <c r="F1635" s="195">
        <v>0</v>
      </c>
      <c r="G1635" s="659">
        <v>0</v>
      </c>
      <c r="H1635" s="195">
        <f t="shared" si="150"/>
        <v>0</v>
      </c>
      <c r="I1635" s="195">
        <v>0</v>
      </c>
      <c r="J1635" s="195">
        <f t="shared" si="146"/>
        <v>0</v>
      </c>
      <c r="K1635" s="922"/>
      <c r="L1635" s="195">
        <f t="shared" si="147"/>
        <v>0</v>
      </c>
      <c r="M1635" s="922"/>
    </row>
    <row r="1636" spans="1:13" ht="15" x14ac:dyDescent="0.2">
      <c r="A1636" s="459" t="s">
        <v>865</v>
      </c>
      <c r="B1636" s="459" t="s">
        <v>281</v>
      </c>
      <c r="C1636" s="417" t="s">
        <v>200</v>
      </c>
      <c r="D1636" s="220">
        <f>D1637</f>
        <v>130105</v>
      </c>
      <c r="E1636" s="220"/>
      <c r="F1636" s="220">
        <f>F1637</f>
        <v>-350</v>
      </c>
      <c r="G1636" s="654">
        <f>G1637</f>
        <v>0</v>
      </c>
      <c r="H1636" s="220">
        <f t="shared" si="150"/>
        <v>129755</v>
      </c>
      <c r="I1636" s="220">
        <v>129955</v>
      </c>
      <c r="J1636" s="220">
        <f t="shared" si="146"/>
        <v>-150</v>
      </c>
      <c r="K1636" s="959">
        <f t="shared" si="148"/>
        <v>-1.1529149533069443E-3</v>
      </c>
      <c r="L1636" s="220">
        <f t="shared" si="147"/>
        <v>200</v>
      </c>
      <c r="M1636" s="959">
        <f t="shared" si="149"/>
        <v>1.5413664213325114E-3</v>
      </c>
    </row>
    <row r="1637" spans="1:13" s="56" customFormat="1" x14ac:dyDescent="0.2">
      <c r="A1637" s="459"/>
      <c r="B1637" s="459"/>
      <c r="C1637" s="301" t="s">
        <v>201</v>
      </c>
      <c r="D1637" s="193">
        <f>D1639</f>
        <v>130105</v>
      </c>
      <c r="E1637" s="193"/>
      <c r="F1637" s="481">
        <f>F1639</f>
        <v>-350</v>
      </c>
      <c r="G1637" s="655">
        <f>G1639</f>
        <v>0</v>
      </c>
      <c r="H1637" s="481">
        <f t="shared" si="150"/>
        <v>129755</v>
      </c>
      <c r="I1637" s="481">
        <v>129955</v>
      </c>
      <c r="J1637" s="481">
        <f t="shared" si="146"/>
        <v>-150</v>
      </c>
      <c r="K1637" s="923">
        <f t="shared" si="148"/>
        <v>-1.1529149533069443E-3</v>
      </c>
      <c r="L1637" s="481">
        <f t="shared" si="147"/>
        <v>200</v>
      </c>
      <c r="M1637" s="923">
        <f t="shared" si="149"/>
        <v>1.5413664213325114E-3</v>
      </c>
    </row>
    <row r="1638" spans="1:13" x14ac:dyDescent="0.2">
      <c r="A1638" s="459"/>
      <c r="B1638" s="459"/>
      <c r="C1638" s="404" t="s">
        <v>196</v>
      </c>
      <c r="D1638" s="193"/>
      <c r="E1638" s="193"/>
      <c r="F1638" s="481">
        <v>0</v>
      </c>
      <c r="G1638" s="655">
        <v>0</v>
      </c>
      <c r="H1638" s="481">
        <f t="shared" si="150"/>
        <v>0</v>
      </c>
      <c r="I1638" s="481">
        <v>0</v>
      </c>
      <c r="J1638" s="481">
        <f t="shared" si="146"/>
        <v>0</v>
      </c>
      <c r="K1638" s="923"/>
      <c r="L1638" s="481">
        <f t="shared" si="147"/>
        <v>0</v>
      </c>
      <c r="M1638" s="923"/>
    </row>
    <row r="1639" spans="1:13" x14ac:dyDescent="0.2">
      <c r="A1639" s="459"/>
      <c r="B1639" s="459"/>
      <c r="C1639" s="106" t="s">
        <v>755</v>
      </c>
      <c r="D1639" s="194">
        <v>130105</v>
      </c>
      <c r="E1639" s="194"/>
      <c r="F1639" s="194">
        <v>-350</v>
      </c>
      <c r="G1639" s="194"/>
      <c r="H1639" s="194">
        <f t="shared" si="150"/>
        <v>129755</v>
      </c>
      <c r="I1639" s="194">
        <v>129955</v>
      </c>
      <c r="J1639" s="194">
        <f t="shared" si="146"/>
        <v>-150</v>
      </c>
      <c r="K1639" s="887">
        <f t="shared" si="148"/>
        <v>-1.1529149533069443E-3</v>
      </c>
      <c r="L1639" s="194">
        <f t="shared" si="147"/>
        <v>200</v>
      </c>
      <c r="M1639" s="887">
        <f t="shared" si="149"/>
        <v>1.5413664213325114E-3</v>
      </c>
    </row>
    <row r="1640" spans="1:13" x14ac:dyDescent="0.2">
      <c r="A1640" s="459"/>
      <c r="B1640" s="459"/>
      <c r="C1640" s="405" t="s">
        <v>119</v>
      </c>
      <c r="D1640" s="495">
        <v>72571</v>
      </c>
      <c r="E1640" s="196"/>
      <c r="F1640" s="495">
        <v>0</v>
      </c>
      <c r="G1640" s="568">
        <v>0</v>
      </c>
      <c r="H1640" s="495">
        <f t="shared" si="150"/>
        <v>72571</v>
      </c>
      <c r="I1640" s="495">
        <v>72571</v>
      </c>
      <c r="J1640" s="495">
        <f t="shared" si="146"/>
        <v>0</v>
      </c>
      <c r="K1640" s="888">
        <f t="shared" si="148"/>
        <v>0</v>
      </c>
      <c r="L1640" s="495">
        <f t="shared" si="147"/>
        <v>0</v>
      </c>
      <c r="M1640" s="888">
        <f t="shared" si="149"/>
        <v>0</v>
      </c>
    </row>
    <row r="1641" spans="1:13" x14ac:dyDescent="0.2">
      <c r="A1641" s="459"/>
      <c r="B1641" s="459"/>
      <c r="C1641" s="287"/>
      <c r="D1641" s="182"/>
      <c r="E1641" s="182"/>
      <c r="F1641" s="491">
        <v>0</v>
      </c>
      <c r="G1641" s="571">
        <v>0</v>
      </c>
      <c r="H1641" s="491">
        <f t="shared" si="150"/>
        <v>0</v>
      </c>
      <c r="I1641" s="491">
        <v>0</v>
      </c>
      <c r="J1641" s="491">
        <f t="shared" si="146"/>
        <v>0</v>
      </c>
      <c r="K1641" s="866"/>
      <c r="L1641" s="491">
        <f t="shared" si="147"/>
        <v>0</v>
      </c>
      <c r="M1641" s="866"/>
    </row>
    <row r="1642" spans="1:13" ht="15" x14ac:dyDescent="0.2">
      <c r="A1642" s="459" t="s">
        <v>866</v>
      </c>
      <c r="B1642" s="459" t="s">
        <v>281</v>
      </c>
      <c r="C1642" s="402" t="s">
        <v>203</v>
      </c>
      <c r="D1642" s="212">
        <f>D1643</f>
        <v>212825</v>
      </c>
      <c r="E1642" s="497">
        <v>3275</v>
      </c>
      <c r="F1642" s="497">
        <f>F1643</f>
        <v>-3500</v>
      </c>
      <c r="G1642" s="669">
        <f>G1643</f>
        <v>0</v>
      </c>
      <c r="H1642" s="497">
        <f t="shared" si="150"/>
        <v>212600</v>
      </c>
      <c r="I1642" s="497">
        <v>211773</v>
      </c>
      <c r="J1642" s="497">
        <f t="shared" si="146"/>
        <v>-1052</v>
      </c>
      <c r="K1642" s="956">
        <f t="shared" si="148"/>
        <v>-4.9430283096440738E-3</v>
      </c>
      <c r="L1642" s="497">
        <f t="shared" si="147"/>
        <v>-827</v>
      </c>
      <c r="M1642" s="956">
        <f t="shared" si="149"/>
        <v>-3.8899341486359359E-3</v>
      </c>
    </row>
    <row r="1643" spans="1:13" s="56" customFormat="1" ht="25.5" x14ac:dyDescent="0.2">
      <c r="A1643" s="459"/>
      <c r="B1643" s="459"/>
      <c r="C1643" s="407" t="s">
        <v>271</v>
      </c>
      <c r="D1643" s="185">
        <f>D1645+D1649</f>
        <v>212825</v>
      </c>
      <c r="E1643" s="494">
        <v>3275</v>
      </c>
      <c r="F1643" s="494">
        <f>F1645+F1649</f>
        <v>-3500</v>
      </c>
      <c r="G1643" s="652">
        <f>G1645+G1649</f>
        <v>0</v>
      </c>
      <c r="H1643" s="494">
        <f t="shared" si="150"/>
        <v>212600</v>
      </c>
      <c r="I1643" s="494">
        <v>211773</v>
      </c>
      <c r="J1643" s="494">
        <f t="shared" si="146"/>
        <v>-1052</v>
      </c>
      <c r="K1643" s="945">
        <f t="shared" si="148"/>
        <v>-4.9430283096440738E-3</v>
      </c>
      <c r="L1643" s="494">
        <f t="shared" si="147"/>
        <v>-827</v>
      </c>
      <c r="M1643" s="945">
        <f t="shared" si="149"/>
        <v>-3.8899341486359359E-3</v>
      </c>
    </row>
    <row r="1644" spans="1:13" x14ac:dyDescent="0.2">
      <c r="C1644" s="408" t="s">
        <v>196</v>
      </c>
      <c r="D1644" s="170"/>
      <c r="E1644" s="488"/>
      <c r="F1644" s="488">
        <v>0</v>
      </c>
      <c r="G1644" s="570">
        <v>0</v>
      </c>
      <c r="H1644" s="488">
        <f t="shared" si="150"/>
        <v>0</v>
      </c>
      <c r="I1644" s="488">
        <v>0</v>
      </c>
      <c r="J1644" s="488">
        <f t="shared" si="146"/>
        <v>0</v>
      </c>
      <c r="K1644" s="865"/>
      <c r="L1644" s="488">
        <f t="shared" si="147"/>
        <v>0</v>
      </c>
      <c r="M1644" s="865"/>
    </row>
    <row r="1645" spans="1:13" x14ac:dyDescent="0.2">
      <c r="C1645" s="378" t="s">
        <v>756</v>
      </c>
      <c r="D1645" s="202">
        <v>145885</v>
      </c>
      <c r="E1645" s="493">
        <v>2183</v>
      </c>
      <c r="F1645" s="493">
        <v>-3500</v>
      </c>
      <c r="G1645" s="601"/>
      <c r="H1645" s="493">
        <f t="shared" si="150"/>
        <v>144568</v>
      </c>
      <c r="I1645" s="493">
        <v>143741</v>
      </c>
      <c r="J1645" s="493">
        <f t="shared" si="146"/>
        <v>-2144</v>
      </c>
      <c r="K1645" s="868">
        <f t="shared" si="148"/>
        <v>-1.4696507523048977E-2</v>
      </c>
      <c r="L1645" s="493">
        <f t="shared" si="147"/>
        <v>-827</v>
      </c>
      <c r="M1645" s="868">
        <f t="shared" si="149"/>
        <v>-5.7204913950528475E-3</v>
      </c>
    </row>
    <row r="1646" spans="1:13" x14ac:dyDescent="0.2">
      <c r="C1646" s="103" t="s">
        <v>119</v>
      </c>
      <c r="D1646" s="489">
        <v>79470</v>
      </c>
      <c r="E1646" s="489">
        <v>1632</v>
      </c>
      <c r="F1646" s="489">
        <v>0</v>
      </c>
      <c r="G1646" s="567">
        <v>0</v>
      </c>
      <c r="H1646" s="489">
        <f t="shared" si="150"/>
        <v>81102</v>
      </c>
      <c r="I1646" s="489">
        <v>81592</v>
      </c>
      <c r="J1646" s="489">
        <f t="shared" si="146"/>
        <v>2122</v>
      </c>
      <c r="K1646" s="869">
        <f t="shared" si="148"/>
        <v>2.6701900088083555E-2</v>
      </c>
      <c r="L1646" s="489">
        <f t="shared" si="147"/>
        <v>490</v>
      </c>
      <c r="M1646" s="869">
        <f t="shared" si="149"/>
        <v>6.0417745554980145E-3</v>
      </c>
    </row>
    <row r="1647" spans="1:13" s="56" customFormat="1" x14ac:dyDescent="0.2">
      <c r="A1647" s="503"/>
      <c r="B1647" s="503"/>
      <c r="C1647" s="286"/>
      <c r="D1647" s="217"/>
      <c r="E1647" s="492"/>
      <c r="F1647" s="492">
        <v>0</v>
      </c>
      <c r="G1647" s="492">
        <v>0</v>
      </c>
      <c r="H1647" s="492">
        <f t="shared" si="150"/>
        <v>0</v>
      </c>
      <c r="I1647" s="492">
        <v>0</v>
      </c>
      <c r="J1647" s="492">
        <f t="shared" si="146"/>
        <v>0</v>
      </c>
      <c r="K1647" s="931"/>
      <c r="L1647" s="492">
        <f t="shared" si="147"/>
        <v>0</v>
      </c>
      <c r="M1647" s="931"/>
    </row>
    <row r="1648" spans="1:13" x14ac:dyDescent="0.2">
      <c r="C1648" s="408" t="s">
        <v>196</v>
      </c>
      <c r="D1648" s="170"/>
      <c r="E1648" s="488"/>
      <c r="F1648" s="488">
        <v>0</v>
      </c>
      <c r="G1648" s="570">
        <v>0</v>
      </c>
      <c r="H1648" s="488">
        <f t="shared" si="150"/>
        <v>0</v>
      </c>
      <c r="I1648" s="488">
        <v>0</v>
      </c>
      <c r="J1648" s="488">
        <f t="shared" si="146"/>
        <v>0</v>
      </c>
      <c r="K1648" s="865"/>
      <c r="L1648" s="488">
        <f t="shared" si="147"/>
        <v>0</v>
      </c>
      <c r="M1648" s="865"/>
    </row>
    <row r="1649" spans="1:13" x14ac:dyDescent="0.2">
      <c r="C1649" s="378" t="s">
        <v>457</v>
      </c>
      <c r="D1649" s="202">
        <v>66940</v>
      </c>
      <c r="E1649" s="493">
        <v>1092</v>
      </c>
      <c r="F1649" s="493">
        <v>0</v>
      </c>
      <c r="G1649" s="601">
        <v>0</v>
      </c>
      <c r="H1649" s="493">
        <f t="shared" si="150"/>
        <v>68032</v>
      </c>
      <c r="I1649" s="493">
        <v>68032</v>
      </c>
      <c r="J1649" s="493">
        <f t="shared" si="146"/>
        <v>1092</v>
      </c>
      <c r="K1649" s="868">
        <f t="shared" si="148"/>
        <v>1.6313116223483717E-2</v>
      </c>
      <c r="L1649" s="493">
        <f t="shared" si="147"/>
        <v>0</v>
      </c>
      <c r="M1649" s="868">
        <f t="shared" si="149"/>
        <v>0</v>
      </c>
    </row>
    <row r="1650" spans="1:13" s="56" customFormat="1" x14ac:dyDescent="0.2">
      <c r="A1650" s="503"/>
      <c r="B1650" s="503"/>
      <c r="C1650" s="103" t="s">
        <v>119</v>
      </c>
      <c r="D1650" s="489">
        <v>49176</v>
      </c>
      <c r="E1650" s="489">
        <v>816</v>
      </c>
      <c r="F1650" s="489">
        <v>0</v>
      </c>
      <c r="G1650" s="567">
        <v>0</v>
      </c>
      <c r="H1650" s="489">
        <f t="shared" si="150"/>
        <v>49992</v>
      </c>
      <c r="I1650" s="489">
        <v>49992</v>
      </c>
      <c r="J1650" s="489">
        <f t="shared" si="146"/>
        <v>816</v>
      </c>
      <c r="K1650" s="869">
        <f t="shared" si="148"/>
        <v>1.6593460224499756E-2</v>
      </c>
      <c r="L1650" s="489">
        <f t="shared" si="147"/>
        <v>0</v>
      </c>
      <c r="M1650" s="869">
        <f t="shared" si="149"/>
        <v>0</v>
      </c>
    </row>
    <row r="1651" spans="1:13" x14ac:dyDescent="0.2">
      <c r="C1651" s="286"/>
      <c r="D1651" s="194"/>
      <c r="E1651" s="194"/>
      <c r="F1651" s="194">
        <v>0</v>
      </c>
      <c r="G1651" s="194">
        <v>0</v>
      </c>
      <c r="H1651" s="194">
        <f t="shared" si="150"/>
        <v>0</v>
      </c>
      <c r="I1651" s="194">
        <v>0</v>
      </c>
      <c r="J1651" s="194">
        <f t="shared" si="146"/>
        <v>0</v>
      </c>
      <c r="K1651" s="887"/>
      <c r="L1651" s="194">
        <f t="shared" si="147"/>
        <v>0</v>
      </c>
      <c r="M1651" s="887"/>
    </row>
    <row r="1652" spans="1:13" ht="15" x14ac:dyDescent="0.2">
      <c r="A1652" s="459" t="s">
        <v>870</v>
      </c>
      <c r="B1652" s="459" t="s">
        <v>281</v>
      </c>
      <c r="C1652" s="402" t="s">
        <v>267</v>
      </c>
      <c r="D1652" s="212">
        <f>D1653</f>
        <v>439400</v>
      </c>
      <c r="E1652" s="212"/>
      <c r="F1652" s="497">
        <v>0</v>
      </c>
      <c r="G1652" s="669">
        <f>G1653</f>
        <v>-26483</v>
      </c>
      <c r="H1652" s="497">
        <f t="shared" si="150"/>
        <v>412917</v>
      </c>
      <c r="I1652" s="497">
        <v>439400</v>
      </c>
      <c r="J1652" s="497">
        <f t="shared" si="146"/>
        <v>0</v>
      </c>
      <c r="K1652" s="956">
        <f t="shared" si="148"/>
        <v>0</v>
      </c>
      <c r="L1652" s="497">
        <f t="shared" si="147"/>
        <v>26483</v>
      </c>
      <c r="M1652" s="956">
        <f t="shared" si="149"/>
        <v>6.4136376075579357E-2</v>
      </c>
    </row>
    <row r="1653" spans="1:13" x14ac:dyDescent="0.2">
      <c r="C1653" s="292" t="s">
        <v>268</v>
      </c>
      <c r="D1653" s="118">
        <v>439400</v>
      </c>
      <c r="E1653" s="118"/>
      <c r="F1653" s="477">
        <v>0</v>
      </c>
      <c r="G1653" s="566">
        <v>-26483</v>
      </c>
      <c r="H1653" s="477">
        <f t="shared" si="150"/>
        <v>412917</v>
      </c>
      <c r="I1653" s="477">
        <v>439400</v>
      </c>
      <c r="J1653" s="477">
        <f t="shared" si="146"/>
        <v>0</v>
      </c>
      <c r="K1653" s="909">
        <f t="shared" si="148"/>
        <v>0</v>
      </c>
      <c r="L1653" s="477">
        <f t="shared" si="147"/>
        <v>26483</v>
      </c>
      <c r="M1653" s="909">
        <f t="shared" si="149"/>
        <v>6.4136376075579357E-2</v>
      </c>
    </row>
    <row r="1654" spans="1:13" x14ac:dyDescent="0.2">
      <c r="C1654" s="287"/>
      <c r="D1654" s="146"/>
      <c r="E1654" s="146"/>
      <c r="F1654" s="498">
        <v>0</v>
      </c>
      <c r="G1654" s="577">
        <v>0</v>
      </c>
      <c r="H1654" s="498">
        <f t="shared" si="150"/>
        <v>0</v>
      </c>
      <c r="I1654" s="498">
        <v>0</v>
      </c>
      <c r="J1654" s="498">
        <f t="shared" si="146"/>
        <v>0</v>
      </c>
      <c r="K1654" s="524"/>
      <c r="L1654" s="498">
        <f t="shared" si="147"/>
        <v>0</v>
      </c>
      <c r="M1654" s="524"/>
    </row>
    <row r="1655" spans="1:13" x14ac:dyDescent="0.2">
      <c r="C1655" s="117" t="s">
        <v>197</v>
      </c>
      <c r="D1655" s="200">
        <f>D1657+D1660+D1664+D1666+D1668+D1670+D1672+D1662</f>
        <v>1292739</v>
      </c>
      <c r="E1655" s="499">
        <f>E1657+E1660+E1664+E1666+E1668+E1670+E1672+E1662</f>
        <v>10672</v>
      </c>
      <c r="F1655" s="499">
        <f>F1657+F1660+F1664+F1666+F1668+F1670+F1672+F1662</f>
        <v>-21467</v>
      </c>
      <c r="G1655" s="657">
        <f>G1657+G1660+G1664+G1666+G1668+G1670+G1672+G1662</f>
        <v>20706</v>
      </c>
      <c r="H1655" s="499">
        <f t="shared" si="150"/>
        <v>1302650</v>
      </c>
      <c r="I1655" s="499">
        <v>1303784</v>
      </c>
      <c r="J1655" s="499">
        <f t="shared" si="146"/>
        <v>11045</v>
      </c>
      <c r="K1655" s="948">
        <f t="shared" si="148"/>
        <v>8.5438746723043094E-3</v>
      </c>
      <c r="L1655" s="499">
        <f t="shared" si="147"/>
        <v>1134</v>
      </c>
      <c r="M1655" s="948">
        <f t="shared" si="149"/>
        <v>8.7053314397574175E-4</v>
      </c>
    </row>
    <row r="1656" spans="1:13" x14ac:dyDescent="0.2">
      <c r="C1656" s="117"/>
      <c r="D1656" s="200"/>
      <c r="E1656" s="200"/>
      <c r="F1656" s="499">
        <v>0</v>
      </c>
      <c r="G1656" s="657">
        <v>0</v>
      </c>
      <c r="H1656" s="499">
        <f t="shared" si="150"/>
        <v>0</v>
      </c>
      <c r="I1656" s="499">
        <v>0</v>
      </c>
      <c r="J1656" s="499">
        <f t="shared" ref="J1656:J1719" si="151">I1656-D1656</f>
        <v>0</v>
      </c>
      <c r="K1656" s="948"/>
      <c r="L1656" s="499">
        <f t="shared" ref="L1656:L1719" si="152">I1656-H1656</f>
        <v>0</v>
      </c>
      <c r="M1656" s="948"/>
    </row>
    <row r="1657" spans="1:13" x14ac:dyDescent="0.2">
      <c r="A1657" s="459" t="s">
        <v>862</v>
      </c>
      <c r="B1657" s="459" t="s">
        <v>281</v>
      </c>
      <c r="C1657" s="307" t="s">
        <v>272</v>
      </c>
      <c r="D1657" s="202">
        <f>925896+178</f>
        <v>926074</v>
      </c>
      <c r="E1657" s="493">
        <v>10672</v>
      </c>
      <c r="F1657" s="493">
        <v>13533</v>
      </c>
      <c r="G1657" s="601">
        <v>-4294</v>
      </c>
      <c r="H1657" s="601">
        <f t="shared" si="150"/>
        <v>945985</v>
      </c>
      <c r="I1657" s="601">
        <v>959119</v>
      </c>
      <c r="J1657" s="601">
        <f t="shared" si="151"/>
        <v>33045</v>
      </c>
      <c r="K1657" s="757">
        <f t="shared" ref="K1657:K1718" si="153">J1657/D1657</f>
        <v>3.5682893591656821E-2</v>
      </c>
      <c r="L1657" s="601">
        <f t="shared" si="152"/>
        <v>13134</v>
      </c>
      <c r="M1657" s="757">
        <f t="shared" ref="M1657:M1718" si="154">L1657/H1657</f>
        <v>1.3883941077289809E-2</v>
      </c>
    </row>
    <row r="1658" spans="1:13" x14ac:dyDescent="0.2">
      <c r="A1658" s="459"/>
      <c r="B1658" s="459"/>
      <c r="C1658" s="308" t="s">
        <v>119</v>
      </c>
      <c r="D1658" s="489">
        <f>573691+130</f>
        <v>573821</v>
      </c>
      <c r="E1658" s="489">
        <v>7976</v>
      </c>
      <c r="F1658" s="489">
        <v>4188</v>
      </c>
      <c r="G1658" s="781">
        <v>-9055</v>
      </c>
      <c r="H1658" s="567">
        <f t="shared" si="150"/>
        <v>576930</v>
      </c>
      <c r="I1658" s="567">
        <v>594367</v>
      </c>
      <c r="J1658" s="567">
        <f t="shared" si="151"/>
        <v>20546</v>
      </c>
      <c r="K1658" s="878">
        <f t="shared" si="153"/>
        <v>3.5805590942123065E-2</v>
      </c>
      <c r="L1658" s="567">
        <f t="shared" si="152"/>
        <v>17437</v>
      </c>
      <c r="M1658" s="878">
        <f t="shared" si="154"/>
        <v>3.0223770648085558E-2</v>
      </c>
    </row>
    <row r="1659" spans="1:13" x14ac:dyDescent="0.2">
      <c r="A1659" s="459"/>
      <c r="B1659" s="459"/>
      <c r="C1659" s="318"/>
      <c r="D1659" s="201"/>
      <c r="E1659" s="201"/>
      <c r="F1659" s="490">
        <v>0</v>
      </c>
      <c r="G1659" s="612">
        <v>0</v>
      </c>
      <c r="H1659" s="612">
        <f t="shared" si="150"/>
        <v>0</v>
      </c>
      <c r="I1659" s="612">
        <v>0</v>
      </c>
      <c r="J1659" s="612">
        <f t="shared" si="151"/>
        <v>0</v>
      </c>
      <c r="K1659" s="880"/>
      <c r="L1659" s="612">
        <f t="shared" si="152"/>
        <v>0</v>
      </c>
      <c r="M1659" s="880"/>
    </row>
    <row r="1660" spans="1:13" x14ac:dyDescent="0.2">
      <c r="A1660" s="459" t="s">
        <v>864</v>
      </c>
      <c r="B1660" s="459" t="s">
        <v>281</v>
      </c>
      <c r="C1660" s="410" t="s">
        <v>510</v>
      </c>
      <c r="D1660" s="213">
        <f>40000+3600</f>
        <v>43600</v>
      </c>
      <c r="E1660" s="213"/>
      <c r="F1660" s="213">
        <v>0</v>
      </c>
      <c r="G1660" s="613">
        <v>30000</v>
      </c>
      <c r="H1660" s="613">
        <f t="shared" si="150"/>
        <v>73600</v>
      </c>
      <c r="I1660" s="613">
        <v>68600</v>
      </c>
      <c r="J1660" s="613">
        <f t="shared" si="151"/>
        <v>25000</v>
      </c>
      <c r="K1660" s="825">
        <f t="shared" si="153"/>
        <v>0.57339449541284404</v>
      </c>
      <c r="L1660" s="613">
        <f t="shared" si="152"/>
        <v>-5000</v>
      </c>
      <c r="M1660" s="825">
        <f t="shared" si="154"/>
        <v>-6.7934782608695649E-2</v>
      </c>
    </row>
    <row r="1661" spans="1:13" x14ac:dyDescent="0.2">
      <c r="A1661" s="459"/>
      <c r="B1661" s="459"/>
      <c r="C1661" s="410"/>
      <c r="D1661" s="213"/>
      <c r="E1661" s="213"/>
      <c r="F1661" s="213">
        <v>0</v>
      </c>
      <c r="G1661" s="613">
        <v>0</v>
      </c>
      <c r="H1661" s="613">
        <f t="shared" si="150"/>
        <v>0</v>
      </c>
      <c r="I1661" s="613">
        <v>0</v>
      </c>
      <c r="J1661" s="613">
        <f t="shared" si="151"/>
        <v>0</v>
      </c>
      <c r="K1661" s="825"/>
      <c r="L1661" s="613">
        <f t="shared" si="152"/>
        <v>0</v>
      </c>
      <c r="M1661" s="825"/>
    </row>
    <row r="1662" spans="1:13" x14ac:dyDescent="0.2">
      <c r="A1662" s="459" t="s">
        <v>864</v>
      </c>
      <c r="B1662" s="459" t="s">
        <v>281</v>
      </c>
      <c r="C1662" s="410" t="s">
        <v>238</v>
      </c>
      <c r="D1662" s="213">
        <v>1000</v>
      </c>
      <c r="E1662" s="213"/>
      <c r="F1662" s="213">
        <v>0</v>
      </c>
      <c r="G1662" s="613">
        <v>0</v>
      </c>
      <c r="H1662" s="613">
        <f t="shared" ref="H1662:H1725" si="155">D1662+E1662+F1662+G1662</f>
        <v>1000</v>
      </c>
      <c r="I1662" s="613">
        <v>1000</v>
      </c>
      <c r="J1662" s="613">
        <f t="shared" si="151"/>
        <v>0</v>
      </c>
      <c r="K1662" s="825">
        <f t="shared" si="153"/>
        <v>0</v>
      </c>
      <c r="L1662" s="613">
        <f t="shared" si="152"/>
        <v>0</v>
      </c>
      <c r="M1662" s="825">
        <f t="shared" si="154"/>
        <v>0</v>
      </c>
    </row>
    <row r="1663" spans="1:13" x14ac:dyDescent="0.2">
      <c r="A1663" s="459"/>
      <c r="B1663" s="459"/>
      <c r="C1663" s="410"/>
      <c r="D1663" s="213"/>
      <c r="E1663" s="213"/>
      <c r="F1663" s="213">
        <v>0</v>
      </c>
      <c r="G1663" s="613">
        <v>0</v>
      </c>
      <c r="H1663" s="613">
        <f t="shared" si="155"/>
        <v>0</v>
      </c>
      <c r="I1663" s="613">
        <v>0</v>
      </c>
      <c r="J1663" s="613">
        <f t="shared" si="151"/>
        <v>0</v>
      </c>
      <c r="K1663" s="825"/>
      <c r="L1663" s="613">
        <f t="shared" si="152"/>
        <v>0</v>
      </c>
      <c r="M1663" s="825"/>
    </row>
    <row r="1664" spans="1:13" x14ac:dyDescent="0.2">
      <c r="A1664" s="459" t="s">
        <v>866</v>
      </c>
      <c r="B1664" s="459" t="s">
        <v>281</v>
      </c>
      <c r="C1664" s="410" t="s">
        <v>273</v>
      </c>
      <c r="D1664" s="213">
        <v>9600</v>
      </c>
      <c r="E1664" s="213"/>
      <c r="F1664" s="213">
        <v>0</v>
      </c>
      <c r="G1664" s="613">
        <v>0</v>
      </c>
      <c r="H1664" s="613">
        <f t="shared" si="155"/>
        <v>9600</v>
      </c>
      <c r="I1664" s="613">
        <v>9600</v>
      </c>
      <c r="J1664" s="613">
        <f t="shared" si="151"/>
        <v>0</v>
      </c>
      <c r="K1664" s="825">
        <f t="shared" si="153"/>
        <v>0</v>
      </c>
      <c r="L1664" s="613">
        <f t="shared" si="152"/>
        <v>0</v>
      </c>
      <c r="M1664" s="825">
        <f t="shared" si="154"/>
        <v>0</v>
      </c>
    </row>
    <row r="1665" spans="1:13" x14ac:dyDescent="0.2">
      <c r="A1665" s="459"/>
      <c r="B1665" s="459"/>
      <c r="C1665" s="338"/>
      <c r="D1665" s="179"/>
      <c r="E1665" s="179"/>
      <c r="F1665" s="179">
        <v>0</v>
      </c>
      <c r="G1665" s="577">
        <v>0</v>
      </c>
      <c r="H1665" s="577">
        <f t="shared" si="155"/>
        <v>0</v>
      </c>
      <c r="I1665" s="577">
        <v>0</v>
      </c>
      <c r="J1665" s="577">
        <f t="shared" si="151"/>
        <v>0</v>
      </c>
      <c r="K1665" s="757"/>
      <c r="L1665" s="577">
        <f t="shared" si="152"/>
        <v>0</v>
      </c>
      <c r="M1665" s="757"/>
    </row>
    <row r="1666" spans="1:13" x14ac:dyDescent="0.2">
      <c r="A1666" s="459" t="s">
        <v>870</v>
      </c>
      <c r="B1666" s="459" t="s">
        <v>281</v>
      </c>
      <c r="C1666" s="315" t="s">
        <v>269</v>
      </c>
      <c r="D1666" s="197">
        <f>89180+2220</f>
        <v>91400</v>
      </c>
      <c r="E1666" s="197"/>
      <c r="F1666" s="496">
        <v>-35000</v>
      </c>
      <c r="G1666" s="613"/>
      <c r="H1666" s="613">
        <f t="shared" si="155"/>
        <v>56400</v>
      </c>
      <c r="I1666" s="613">
        <v>44400</v>
      </c>
      <c r="J1666" s="613">
        <f t="shared" si="151"/>
        <v>-47000</v>
      </c>
      <c r="K1666" s="825">
        <f t="shared" si="153"/>
        <v>-0.51422319474835887</v>
      </c>
      <c r="L1666" s="613">
        <f t="shared" si="152"/>
        <v>-12000</v>
      </c>
      <c r="M1666" s="825">
        <f t="shared" si="154"/>
        <v>-0.21276595744680851</v>
      </c>
    </row>
    <row r="1667" spans="1:13" x14ac:dyDescent="0.2">
      <c r="A1667" s="459"/>
      <c r="B1667" s="459"/>
      <c r="C1667" s="315"/>
      <c r="D1667" s="197"/>
      <c r="E1667" s="197"/>
      <c r="F1667" s="496">
        <v>0</v>
      </c>
      <c r="G1667" s="613">
        <v>0</v>
      </c>
      <c r="H1667" s="613">
        <f t="shared" si="155"/>
        <v>0</v>
      </c>
      <c r="I1667" s="613">
        <v>0</v>
      </c>
      <c r="J1667" s="613">
        <f t="shared" si="151"/>
        <v>0</v>
      </c>
      <c r="K1667" s="825"/>
      <c r="L1667" s="613">
        <f t="shared" si="152"/>
        <v>0</v>
      </c>
      <c r="M1667" s="825"/>
    </row>
    <row r="1668" spans="1:13" x14ac:dyDescent="0.2">
      <c r="A1668" s="459" t="s">
        <v>870</v>
      </c>
      <c r="B1668" s="459" t="s">
        <v>281</v>
      </c>
      <c r="C1668" s="410" t="s">
        <v>274</v>
      </c>
      <c r="D1668" s="213">
        <v>186500</v>
      </c>
      <c r="E1668" s="213"/>
      <c r="F1668" s="213">
        <v>0</v>
      </c>
      <c r="G1668" s="613">
        <v>0</v>
      </c>
      <c r="H1668" s="613">
        <f t="shared" si="155"/>
        <v>186500</v>
      </c>
      <c r="I1668" s="613">
        <v>186500</v>
      </c>
      <c r="J1668" s="613">
        <f t="shared" si="151"/>
        <v>0</v>
      </c>
      <c r="K1668" s="825">
        <f t="shared" si="153"/>
        <v>0</v>
      </c>
      <c r="L1668" s="613">
        <f t="shared" si="152"/>
        <v>0</v>
      </c>
      <c r="M1668" s="825">
        <f t="shared" si="154"/>
        <v>0</v>
      </c>
    </row>
    <row r="1669" spans="1:13" x14ac:dyDescent="0.2">
      <c r="A1669" s="459"/>
      <c r="B1669" s="459"/>
      <c r="C1669" s="320"/>
      <c r="D1669" s="146"/>
      <c r="E1669" s="146"/>
      <c r="F1669" s="498">
        <v>0</v>
      </c>
      <c r="G1669" s="577">
        <v>0</v>
      </c>
      <c r="H1669" s="577">
        <f t="shared" si="155"/>
        <v>0</v>
      </c>
      <c r="I1669" s="577">
        <v>0</v>
      </c>
      <c r="J1669" s="577">
        <f t="shared" si="151"/>
        <v>0</v>
      </c>
      <c r="K1669" s="757"/>
      <c r="L1669" s="577">
        <f t="shared" si="152"/>
        <v>0</v>
      </c>
      <c r="M1669" s="757"/>
    </row>
    <row r="1670" spans="1:13" x14ac:dyDescent="0.2">
      <c r="A1670" s="459" t="s">
        <v>869</v>
      </c>
      <c r="B1670" s="459" t="s">
        <v>281</v>
      </c>
      <c r="C1670" s="104" t="s">
        <v>252</v>
      </c>
      <c r="D1670" s="172">
        <v>22065</v>
      </c>
      <c r="E1670" s="172"/>
      <c r="F1670" s="172">
        <v>0</v>
      </c>
      <c r="G1670" s="574">
        <v>0</v>
      </c>
      <c r="H1670" s="574">
        <f t="shared" si="155"/>
        <v>22065</v>
      </c>
      <c r="I1670" s="574">
        <v>22065</v>
      </c>
      <c r="J1670" s="574">
        <f t="shared" si="151"/>
        <v>0</v>
      </c>
      <c r="K1670" s="757">
        <f t="shared" si="153"/>
        <v>0</v>
      </c>
      <c r="L1670" s="574">
        <f t="shared" si="152"/>
        <v>0</v>
      </c>
      <c r="M1670" s="757">
        <f t="shared" si="154"/>
        <v>0</v>
      </c>
    </row>
    <row r="1671" spans="1:13" x14ac:dyDescent="0.2">
      <c r="A1671" s="459"/>
      <c r="B1671" s="459"/>
      <c r="C1671" s="393"/>
      <c r="D1671" s="182"/>
      <c r="E1671" s="182"/>
      <c r="F1671" s="491">
        <v>0</v>
      </c>
      <c r="G1671" s="571">
        <v>0</v>
      </c>
      <c r="H1671" s="571">
        <f t="shared" si="155"/>
        <v>0</v>
      </c>
      <c r="I1671" s="571">
        <v>0</v>
      </c>
      <c r="J1671" s="571">
        <f t="shared" si="151"/>
        <v>0</v>
      </c>
      <c r="K1671" s="529"/>
      <c r="L1671" s="571">
        <f t="shared" si="152"/>
        <v>0</v>
      </c>
      <c r="M1671" s="529"/>
    </row>
    <row r="1672" spans="1:13" x14ac:dyDescent="0.2">
      <c r="A1672" s="459" t="s">
        <v>883</v>
      </c>
      <c r="B1672" s="459" t="s">
        <v>281</v>
      </c>
      <c r="C1672" s="104" t="s">
        <v>276</v>
      </c>
      <c r="D1672" s="172">
        <v>12500</v>
      </c>
      <c r="E1672" s="172"/>
      <c r="F1672" s="172">
        <v>0</v>
      </c>
      <c r="G1672" s="574">
        <v>-5000</v>
      </c>
      <c r="H1672" s="574">
        <f t="shared" si="155"/>
        <v>7500</v>
      </c>
      <c r="I1672" s="574">
        <v>12500</v>
      </c>
      <c r="J1672" s="574">
        <f t="shared" si="151"/>
        <v>0</v>
      </c>
      <c r="K1672" s="757">
        <f t="shared" si="153"/>
        <v>0</v>
      </c>
      <c r="L1672" s="574">
        <f t="shared" si="152"/>
        <v>5000</v>
      </c>
      <c r="M1672" s="757">
        <f t="shared" si="154"/>
        <v>0.66666666666666663</v>
      </c>
    </row>
    <row r="1673" spans="1:13" x14ac:dyDescent="0.2">
      <c r="C1673" s="108"/>
      <c r="D1673" s="179"/>
      <c r="E1673" s="179"/>
      <c r="F1673" s="179">
        <v>0</v>
      </c>
      <c r="G1673" s="179"/>
      <c r="H1673" s="179">
        <f t="shared" si="155"/>
        <v>0</v>
      </c>
      <c r="I1673" s="179">
        <v>0</v>
      </c>
      <c r="J1673" s="179">
        <f t="shared" si="151"/>
        <v>0</v>
      </c>
      <c r="K1673" s="542"/>
      <c r="L1673" s="179">
        <f t="shared" si="152"/>
        <v>0</v>
      </c>
      <c r="M1673" s="542"/>
    </row>
    <row r="1674" spans="1:13" x14ac:dyDescent="0.2">
      <c r="C1674" s="108"/>
      <c r="D1674" s="179"/>
      <c r="E1674" s="179"/>
      <c r="F1674" s="179">
        <v>0</v>
      </c>
      <c r="G1674" s="179"/>
      <c r="H1674" s="179">
        <f t="shared" si="155"/>
        <v>0</v>
      </c>
      <c r="I1674" s="179">
        <v>0</v>
      </c>
      <c r="J1674" s="179">
        <f t="shared" si="151"/>
        <v>0</v>
      </c>
      <c r="K1674" s="542"/>
      <c r="L1674" s="179">
        <f t="shared" si="152"/>
        <v>0</v>
      </c>
      <c r="M1674" s="542"/>
    </row>
    <row r="1675" spans="1:13" ht="15.75" x14ac:dyDescent="0.2">
      <c r="C1675" s="289" t="s">
        <v>282</v>
      </c>
      <c r="D1675" s="176"/>
      <c r="E1675" s="176"/>
      <c r="F1675" s="176">
        <v>0</v>
      </c>
      <c r="G1675" s="176"/>
      <c r="H1675" s="176">
        <f t="shared" si="155"/>
        <v>0</v>
      </c>
      <c r="I1675" s="176">
        <v>0</v>
      </c>
      <c r="J1675" s="176">
        <f t="shared" si="151"/>
        <v>0</v>
      </c>
      <c r="K1675" s="906"/>
      <c r="L1675" s="176">
        <f t="shared" si="152"/>
        <v>0</v>
      </c>
      <c r="M1675" s="906"/>
    </row>
    <row r="1676" spans="1:13" x14ac:dyDescent="0.2">
      <c r="C1676" s="108"/>
      <c r="D1676" s="179"/>
      <c r="E1676" s="179"/>
      <c r="F1676" s="179">
        <v>0</v>
      </c>
      <c r="G1676" s="179"/>
      <c r="H1676" s="179">
        <f t="shared" si="155"/>
        <v>0</v>
      </c>
      <c r="I1676" s="179">
        <v>0</v>
      </c>
      <c r="J1676" s="179">
        <f t="shared" si="151"/>
        <v>0</v>
      </c>
      <c r="K1676" s="542"/>
      <c r="L1676" s="179">
        <f t="shared" si="152"/>
        <v>0</v>
      </c>
      <c r="M1676" s="542"/>
    </row>
    <row r="1677" spans="1:13" s="486" customFormat="1" x14ac:dyDescent="0.2">
      <c r="A1677" s="503"/>
      <c r="B1677" s="503"/>
      <c r="C1677" s="100" t="s">
        <v>193</v>
      </c>
      <c r="D1677" s="170">
        <f>D1685+D1689+D1696+D1706+D1709</f>
        <v>5647530</v>
      </c>
      <c r="E1677" s="488">
        <f>E1685+E1689+E1696+E1706+E1709</f>
        <v>68921</v>
      </c>
      <c r="F1677" s="488">
        <f>F1685+F1689+F1696+F1706+F1709</f>
        <v>213593</v>
      </c>
      <c r="G1677" s="570">
        <f>G1685+G1689+G1696+G1706+G1709</f>
        <v>41254</v>
      </c>
      <c r="H1677" s="488">
        <f t="shared" si="155"/>
        <v>5971298</v>
      </c>
      <c r="I1677" s="488">
        <v>6430096</v>
      </c>
      <c r="J1677" s="488">
        <f t="shared" si="151"/>
        <v>782566</v>
      </c>
      <c r="K1677" s="865">
        <f t="shared" si="153"/>
        <v>0.13856783407967732</v>
      </c>
      <c r="L1677" s="488">
        <f t="shared" si="152"/>
        <v>458798</v>
      </c>
      <c r="M1677" s="865">
        <f t="shared" si="154"/>
        <v>7.6833881008785701E-2</v>
      </c>
    </row>
    <row r="1678" spans="1:13" x14ac:dyDescent="0.2">
      <c r="C1678" s="101" t="s">
        <v>479</v>
      </c>
      <c r="D1678" s="182">
        <v>781500</v>
      </c>
      <c r="E1678" s="491"/>
      <c r="F1678" s="491"/>
      <c r="G1678" s="571"/>
      <c r="H1678" s="491">
        <f t="shared" si="155"/>
        <v>781500</v>
      </c>
      <c r="I1678" s="491">
        <v>896300</v>
      </c>
      <c r="J1678" s="491">
        <f t="shared" si="151"/>
        <v>114800</v>
      </c>
      <c r="K1678" s="866">
        <f t="shared" si="153"/>
        <v>0.14689699296225209</v>
      </c>
      <c r="L1678" s="491">
        <f t="shared" si="152"/>
        <v>114800</v>
      </c>
      <c r="M1678" s="866">
        <f t="shared" si="154"/>
        <v>0.14689699296225209</v>
      </c>
    </row>
    <row r="1679" spans="1:13" s="6" customFormat="1" x14ac:dyDescent="0.2">
      <c r="A1679" s="503"/>
      <c r="B1679" s="503"/>
      <c r="C1679" s="107" t="s">
        <v>116</v>
      </c>
      <c r="D1679" s="183">
        <f>D1680+D1682</f>
        <v>5647530</v>
      </c>
      <c r="E1679" s="183">
        <f>E1680+E1682</f>
        <v>68921</v>
      </c>
      <c r="F1679" s="183">
        <f>F1680+F1682</f>
        <v>213593</v>
      </c>
      <c r="G1679" s="570">
        <f>G1680+G1682+G1681</f>
        <v>41254</v>
      </c>
      <c r="H1679" s="183">
        <f t="shared" si="155"/>
        <v>5971298</v>
      </c>
      <c r="I1679" s="183">
        <v>6430096</v>
      </c>
      <c r="J1679" s="183">
        <f t="shared" si="151"/>
        <v>782566</v>
      </c>
      <c r="K1679" s="528">
        <f t="shared" si="153"/>
        <v>0.13856783407967732</v>
      </c>
      <c r="L1679" s="183">
        <f t="shared" si="152"/>
        <v>458798</v>
      </c>
      <c r="M1679" s="528">
        <f t="shared" si="154"/>
        <v>7.6833881008785701E-2</v>
      </c>
    </row>
    <row r="1680" spans="1:13" x14ac:dyDescent="0.2">
      <c r="C1680" s="102" t="s">
        <v>117</v>
      </c>
      <c r="D1680" s="182">
        <f>'2.2 OMATULUD'!B737</f>
        <v>1323784</v>
      </c>
      <c r="E1680" s="491"/>
      <c r="F1680" s="491">
        <v>-87830</v>
      </c>
      <c r="G1680" s="571">
        <v>534</v>
      </c>
      <c r="H1680" s="491">
        <f t="shared" si="155"/>
        <v>1236488</v>
      </c>
      <c r="I1680" s="491">
        <v>1524113</v>
      </c>
      <c r="J1680" s="491">
        <f t="shared" si="151"/>
        <v>200329</v>
      </c>
      <c r="K1680" s="866">
        <f t="shared" si="153"/>
        <v>0.15133057961117524</v>
      </c>
      <c r="L1680" s="491">
        <f t="shared" si="152"/>
        <v>287625</v>
      </c>
      <c r="M1680" s="866">
        <f t="shared" si="154"/>
        <v>0.23261446936808122</v>
      </c>
    </row>
    <row r="1681" spans="1:13" x14ac:dyDescent="0.2">
      <c r="C1681" s="761" t="s">
        <v>0</v>
      </c>
      <c r="D1681" s="491"/>
      <c r="E1681" s="491"/>
      <c r="F1681" s="491"/>
      <c r="G1681" s="571">
        <v>25440</v>
      </c>
      <c r="H1681" s="491">
        <f t="shared" si="155"/>
        <v>25440</v>
      </c>
      <c r="I1681" s="491">
        <v>0</v>
      </c>
      <c r="J1681" s="491">
        <f t="shared" si="151"/>
        <v>0</v>
      </c>
      <c r="K1681" s="866"/>
      <c r="L1681" s="491">
        <f t="shared" si="152"/>
        <v>-25440</v>
      </c>
      <c r="M1681" s="866">
        <f t="shared" si="154"/>
        <v>-1</v>
      </c>
    </row>
    <row r="1682" spans="1:13" x14ac:dyDescent="0.2">
      <c r="C1682" s="95" t="s">
        <v>118</v>
      </c>
      <c r="D1682" s="182">
        <f>D1677-D1680</f>
        <v>4323746</v>
      </c>
      <c r="E1682" s="491">
        <f>E1677-E1680</f>
        <v>68921</v>
      </c>
      <c r="F1682" s="491">
        <f>F1677-F1680</f>
        <v>301423</v>
      </c>
      <c r="G1682" s="571">
        <f>G1677-G1680-G1681</f>
        <v>15280</v>
      </c>
      <c r="H1682" s="491">
        <f t="shared" si="155"/>
        <v>4709370</v>
      </c>
      <c r="I1682" s="491">
        <v>4905983</v>
      </c>
      <c r="J1682" s="491">
        <f t="shared" si="151"/>
        <v>582237</v>
      </c>
      <c r="K1682" s="866">
        <f t="shared" si="153"/>
        <v>0.13466031538392867</v>
      </c>
      <c r="L1682" s="491">
        <f t="shared" si="152"/>
        <v>196613</v>
      </c>
      <c r="M1682" s="866">
        <f t="shared" si="154"/>
        <v>4.1749321034448346E-2</v>
      </c>
    </row>
    <row r="1683" spans="1:13" x14ac:dyDescent="0.2">
      <c r="A1683" s="459"/>
      <c r="B1683" s="459"/>
      <c r="C1683" s="473" t="s">
        <v>909</v>
      </c>
      <c r="D1683" s="474">
        <f>D1687+D1694+D1700+D1704+D1712+D1717</f>
        <v>2452746</v>
      </c>
      <c r="E1683" s="474">
        <f>E1687+E1694+E1700+E1704+E1712+E1717</f>
        <v>51510</v>
      </c>
      <c r="F1683" s="474">
        <f>F1687+F1694+F1700+F1704+F1712+F1717</f>
        <v>19748</v>
      </c>
      <c r="G1683" s="474">
        <f>G1687+G1694+G1700+G1704+G1712+G1717+G1733</f>
        <v>9143</v>
      </c>
      <c r="H1683" s="474">
        <f t="shared" si="155"/>
        <v>2533147</v>
      </c>
      <c r="I1683" s="474">
        <v>2507089</v>
      </c>
      <c r="J1683" s="474">
        <f t="shared" si="151"/>
        <v>54343</v>
      </c>
      <c r="K1683" s="867">
        <f t="shared" si="153"/>
        <v>2.2155983538450375E-2</v>
      </c>
      <c r="L1683" s="474">
        <f t="shared" si="152"/>
        <v>-26058</v>
      </c>
      <c r="M1683" s="867">
        <f t="shared" si="154"/>
        <v>-1.0286809253470091E-2</v>
      </c>
    </row>
    <row r="1684" spans="1:13" s="56" customFormat="1" x14ac:dyDescent="0.2">
      <c r="A1684" s="503"/>
      <c r="B1684" s="503"/>
      <c r="C1684" s="95"/>
      <c r="D1684" s="182"/>
      <c r="E1684" s="491"/>
      <c r="F1684" s="491">
        <v>0</v>
      </c>
      <c r="G1684" s="571">
        <v>0</v>
      </c>
      <c r="H1684" s="491">
        <f t="shared" si="155"/>
        <v>0</v>
      </c>
      <c r="I1684" s="491">
        <v>0</v>
      </c>
      <c r="J1684" s="491">
        <f t="shared" si="151"/>
        <v>0</v>
      </c>
      <c r="K1684" s="866"/>
      <c r="L1684" s="491">
        <f t="shared" si="152"/>
        <v>0</v>
      </c>
      <c r="M1684" s="866"/>
    </row>
    <row r="1685" spans="1:13" ht="15" x14ac:dyDescent="0.2">
      <c r="A1685" s="459" t="s">
        <v>864</v>
      </c>
      <c r="B1685" s="459" t="s">
        <v>282</v>
      </c>
      <c r="C1685" s="402" t="s">
        <v>198</v>
      </c>
      <c r="D1685" s="212">
        <f>D1686</f>
        <v>581543</v>
      </c>
      <c r="E1685" s="212"/>
      <c r="F1685" s="497">
        <f>F1686</f>
        <v>17487</v>
      </c>
      <c r="G1685" s="669">
        <f>G1686</f>
        <v>-19860</v>
      </c>
      <c r="H1685" s="497">
        <f t="shared" si="155"/>
        <v>579170</v>
      </c>
      <c r="I1685" s="497">
        <v>618890</v>
      </c>
      <c r="J1685" s="497">
        <f t="shared" si="151"/>
        <v>37347</v>
      </c>
      <c r="K1685" s="956">
        <f t="shared" si="153"/>
        <v>6.422053055406049E-2</v>
      </c>
      <c r="L1685" s="497">
        <f t="shared" si="152"/>
        <v>39720</v>
      </c>
      <c r="M1685" s="956">
        <f t="shared" si="154"/>
        <v>6.8580900253811486E-2</v>
      </c>
    </row>
    <row r="1686" spans="1:13" x14ac:dyDescent="0.2">
      <c r="A1686" s="459"/>
      <c r="B1686" s="459"/>
      <c r="C1686" s="292" t="s">
        <v>757</v>
      </c>
      <c r="D1686" s="118">
        <f>517158+64385</f>
        <v>581543</v>
      </c>
      <c r="E1686" s="118"/>
      <c r="F1686" s="477">
        <v>17487</v>
      </c>
      <c r="G1686" s="566">
        <v>-19860</v>
      </c>
      <c r="H1686" s="477">
        <f t="shared" si="155"/>
        <v>579170</v>
      </c>
      <c r="I1686" s="477">
        <v>618890</v>
      </c>
      <c r="J1686" s="477">
        <f t="shared" si="151"/>
        <v>37347</v>
      </c>
      <c r="K1686" s="909">
        <f t="shared" si="153"/>
        <v>6.422053055406049E-2</v>
      </c>
      <c r="L1686" s="477">
        <f t="shared" si="152"/>
        <v>39720</v>
      </c>
      <c r="M1686" s="909">
        <f t="shared" si="154"/>
        <v>6.8580900253811486E-2</v>
      </c>
    </row>
    <row r="1687" spans="1:13" x14ac:dyDescent="0.2">
      <c r="A1687" s="459"/>
      <c r="B1687" s="459"/>
      <c r="C1687" s="98" t="s">
        <v>119</v>
      </c>
      <c r="D1687" s="489">
        <v>280861</v>
      </c>
      <c r="E1687" s="145"/>
      <c r="F1687" s="489">
        <v>0</v>
      </c>
      <c r="G1687" s="781">
        <v>-16434</v>
      </c>
      <c r="H1687" s="489">
        <f t="shared" si="155"/>
        <v>264427</v>
      </c>
      <c r="I1687" s="489">
        <v>251691</v>
      </c>
      <c r="J1687" s="489">
        <f t="shared" si="151"/>
        <v>-29170</v>
      </c>
      <c r="K1687" s="869">
        <f t="shared" si="153"/>
        <v>-0.10385920437511795</v>
      </c>
      <c r="L1687" s="489">
        <f t="shared" si="152"/>
        <v>-12736</v>
      </c>
      <c r="M1687" s="869">
        <f t="shared" si="154"/>
        <v>-4.8164521777276904E-2</v>
      </c>
    </row>
    <row r="1688" spans="1:13" x14ac:dyDescent="0.2">
      <c r="A1688" s="459"/>
      <c r="B1688" s="459"/>
      <c r="C1688" s="357"/>
      <c r="D1688" s="195"/>
      <c r="E1688" s="195"/>
      <c r="F1688" s="195">
        <v>0</v>
      </c>
      <c r="G1688" s="659">
        <v>0</v>
      </c>
      <c r="H1688" s="195">
        <f t="shared" si="155"/>
        <v>0</v>
      </c>
      <c r="I1688" s="195">
        <v>0</v>
      </c>
      <c r="J1688" s="195">
        <f t="shared" si="151"/>
        <v>0</v>
      </c>
      <c r="K1688" s="922"/>
      <c r="L1688" s="195">
        <f t="shared" si="152"/>
        <v>0</v>
      </c>
      <c r="M1688" s="922"/>
    </row>
    <row r="1689" spans="1:13" ht="15" x14ac:dyDescent="0.2">
      <c r="A1689" s="459" t="s">
        <v>865</v>
      </c>
      <c r="B1689" s="459" t="s">
        <v>282</v>
      </c>
      <c r="C1689" s="402" t="s">
        <v>200</v>
      </c>
      <c r="D1689" s="212">
        <f>D1690</f>
        <v>138057</v>
      </c>
      <c r="E1689" s="212"/>
      <c r="F1689" s="497">
        <v>0</v>
      </c>
      <c r="G1689" s="669">
        <f>G1690</f>
        <v>4500</v>
      </c>
      <c r="H1689" s="497">
        <f t="shared" si="155"/>
        <v>142557</v>
      </c>
      <c r="I1689" s="497">
        <v>171226</v>
      </c>
      <c r="J1689" s="497">
        <f t="shared" si="151"/>
        <v>33169</v>
      </c>
      <c r="K1689" s="956">
        <f t="shared" si="153"/>
        <v>0.24025583635744657</v>
      </c>
      <c r="L1689" s="497">
        <f t="shared" si="152"/>
        <v>28669</v>
      </c>
      <c r="M1689" s="956">
        <f t="shared" si="154"/>
        <v>0.20110552270319942</v>
      </c>
    </row>
    <row r="1690" spans="1:13" x14ac:dyDescent="0.2">
      <c r="C1690" s="292" t="s">
        <v>201</v>
      </c>
      <c r="D1690" s="118">
        <f>D1693</f>
        <v>138057</v>
      </c>
      <c r="E1690" s="118"/>
      <c r="F1690" s="477">
        <v>0</v>
      </c>
      <c r="G1690" s="566">
        <f>G1693</f>
        <v>4500</v>
      </c>
      <c r="H1690" s="477">
        <f t="shared" si="155"/>
        <v>142557</v>
      </c>
      <c r="I1690" s="477">
        <v>171226</v>
      </c>
      <c r="J1690" s="477">
        <f t="shared" si="151"/>
        <v>33169</v>
      </c>
      <c r="K1690" s="909">
        <f t="shared" si="153"/>
        <v>0.24025583635744657</v>
      </c>
      <c r="L1690" s="477">
        <f t="shared" si="152"/>
        <v>28669</v>
      </c>
      <c r="M1690" s="909">
        <f t="shared" si="154"/>
        <v>0.20110552270319942</v>
      </c>
    </row>
    <row r="1691" spans="1:13" s="56" customFormat="1" x14ac:dyDescent="0.2">
      <c r="A1691" s="503"/>
      <c r="B1691" s="503"/>
      <c r="C1691" s="422"/>
      <c r="D1691" s="221"/>
      <c r="E1691" s="221"/>
      <c r="F1691" s="221">
        <v>0</v>
      </c>
      <c r="G1691" s="680">
        <v>0</v>
      </c>
      <c r="H1691" s="221">
        <f t="shared" si="155"/>
        <v>0</v>
      </c>
      <c r="I1691" s="221">
        <v>0</v>
      </c>
      <c r="J1691" s="221">
        <f t="shared" si="151"/>
        <v>0</v>
      </c>
      <c r="K1691" s="914"/>
      <c r="L1691" s="221">
        <f t="shared" si="152"/>
        <v>0</v>
      </c>
      <c r="M1691" s="914"/>
    </row>
    <row r="1692" spans="1:13" x14ac:dyDescent="0.2">
      <c r="C1692" s="408" t="s">
        <v>196</v>
      </c>
      <c r="D1692" s="170"/>
      <c r="E1692" s="170"/>
      <c r="F1692" s="488">
        <v>0</v>
      </c>
      <c r="G1692" s="570">
        <v>0</v>
      </c>
      <c r="H1692" s="488">
        <f t="shared" si="155"/>
        <v>0</v>
      </c>
      <c r="I1692" s="488">
        <v>0</v>
      </c>
      <c r="J1692" s="488">
        <f t="shared" si="151"/>
        <v>0</v>
      </c>
      <c r="K1692" s="865"/>
      <c r="L1692" s="488">
        <f t="shared" si="152"/>
        <v>0</v>
      </c>
      <c r="M1692" s="865"/>
    </row>
    <row r="1693" spans="1:13" x14ac:dyDescent="0.2">
      <c r="C1693" s="378" t="s">
        <v>758</v>
      </c>
      <c r="D1693" s="202">
        <v>138057</v>
      </c>
      <c r="E1693" s="202"/>
      <c r="F1693" s="493">
        <v>0</v>
      </c>
      <c r="G1693" s="601">
        <v>4500</v>
      </c>
      <c r="H1693" s="493">
        <f t="shared" si="155"/>
        <v>142557</v>
      </c>
      <c r="I1693" s="493">
        <v>171226</v>
      </c>
      <c r="J1693" s="493">
        <f t="shared" si="151"/>
        <v>33169</v>
      </c>
      <c r="K1693" s="868">
        <f t="shared" si="153"/>
        <v>0.24025583635744657</v>
      </c>
      <c r="L1693" s="493">
        <f t="shared" si="152"/>
        <v>28669</v>
      </c>
      <c r="M1693" s="868">
        <f t="shared" si="154"/>
        <v>0.20110552270319942</v>
      </c>
    </row>
    <row r="1694" spans="1:13" x14ac:dyDescent="0.2">
      <c r="C1694" s="103" t="s">
        <v>119</v>
      </c>
      <c r="D1694" s="489">
        <v>79078</v>
      </c>
      <c r="E1694" s="145"/>
      <c r="F1694" s="489">
        <v>0</v>
      </c>
      <c r="G1694" s="567">
        <v>0</v>
      </c>
      <c r="H1694" s="489">
        <f t="shared" si="155"/>
        <v>79078</v>
      </c>
      <c r="I1694" s="489">
        <v>97366</v>
      </c>
      <c r="J1694" s="489">
        <f t="shared" si="151"/>
        <v>18288</v>
      </c>
      <c r="K1694" s="869">
        <f t="shared" si="153"/>
        <v>0.23126533296239157</v>
      </c>
      <c r="L1694" s="489">
        <f t="shared" si="152"/>
        <v>18288</v>
      </c>
      <c r="M1694" s="869">
        <f t="shared" si="154"/>
        <v>0.23126533296239157</v>
      </c>
    </row>
    <row r="1695" spans="1:13" x14ac:dyDescent="0.2">
      <c r="C1695" s="95"/>
      <c r="D1695" s="182"/>
      <c r="E1695" s="182"/>
      <c r="F1695" s="491">
        <v>0</v>
      </c>
      <c r="G1695" s="571">
        <v>0</v>
      </c>
      <c r="H1695" s="491">
        <f t="shared" si="155"/>
        <v>0</v>
      </c>
      <c r="I1695" s="491">
        <v>0</v>
      </c>
      <c r="J1695" s="491">
        <f t="shared" si="151"/>
        <v>0</v>
      </c>
      <c r="K1695" s="866"/>
      <c r="L1695" s="491">
        <f t="shared" si="152"/>
        <v>0</v>
      </c>
      <c r="M1695" s="866"/>
    </row>
    <row r="1696" spans="1:13" ht="15" x14ac:dyDescent="0.2">
      <c r="A1696" s="459" t="s">
        <v>866</v>
      </c>
      <c r="B1696" s="459" t="s">
        <v>282</v>
      </c>
      <c r="C1696" s="402" t="s">
        <v>203</v>
      </c>
      <c r="D1696" s="212">
        <f>D1697</f>
        <v>1219090</v>
      </c>
      <c r="E1696" s="497">
        <v>17947</v>
      </c>
      <c r="F1696" s="497">
        <f>F1697</f>
        <v>-3000</v>
      </c>
      <c r="G1696" s="669">
        <f>G1697</f>
        <v>-2000</v>
      </c>
      <c r="H1696" s="497">
        <f t="shared" si="155"/>
        <v>1232037</v>
      </c>
      <c r="I1696" s="497">
        <v>1234037</v>
      </c>
      <c r="J1696" s="497">
        <f t="shared" si="151"/>
        <v>14947</v>
      </c>
      <c r="K1696" s="956">
        <f t="shared" si="153"/>
        <v>1.2260784683657482E-2</v>
      </c>
      <c r="L1696" s="497">
        <f t="shared" si="152"/>
        <v>2000</v>
      </c>
      <c r="M1696" s="956">
        <f t="shared" si="154"/>
        <v>1.6233278708350479E-3</v>
      </c>
    </row>
    <row r="1697" spans="1:13" s="56" customFormat="1" ht="25.5" x14ac:dyDescent="0.2">
      <c r="A1697" s="503"/>
      <c r="B1697" s="503"/>
      <c r="C1697" s="407" t="s">
        <v>271</v>
      </c>
      <c r="D1697" s="185">
        <f>D1699+D1703</f>
        <v>1219090</v>
      </c>
      <c r="E1697" s="494">
        <v>17947</v>
      </c>
      <c r="F1697" s="494">
        <f>F1699+F1703</f>
        <v>-3000</v>
      </c>
      <c r="G1697" s="652">
        <f>G1699+G1703</f>
        <v>-2000</v>
      </c>
      <c r="H1697" s="494">
        <f t="shared" si="155"/>
        <v>1232037</v>
      </c>
      <c r="I1697" s="494">
        <v>1234037</v>
      </c>
      <c r="J1697" s="494">
        <f t="shared" si="151"/>
        <v>14947</v>
      </c>
      <c r="K1697" s="945">
        <f t="shared" si="153"/>
        <v>1.2260784683657482E-2</v>
      </c>
      <c r="L1697" s="494">
        <f t="shared" si="152"/>
        <v>2000</v>
      </c>
      <c r="M1697" s="945">
        <f t="shared" si="154"/>
        <v>1.6233278708350479E-3</v>
      </c>
    </row>
    <row r="1698" spans="1:13" x14ac:dyDescent="0.2">
      <c r="C1698" s="408" t="s">
        <v>196</v>
      </c>
      <c r="D1698" s="170"/>
      <c r="E1698" s="488"/>
      <c r="F1698" s="488">
        <v>0</v>
      </c>
      <c r="G1698" s="570">
        <v>0</v>
      </c>
      <c r="H1698" s="488">
        <f t="shared" si="155"/>
        <v>0</v>
      </c>
      <c r="I1698" s="488">
        <v>0</v>
      </c>
      <c r="J1698" s="488">
        <f t="shared" si="151"/>
        <v>0</v>
      </c>
      <c r="K1698" s="865"/>
      <c r="L1698" s="488">
        <f t="shared" si="152"/>
        <v>0</v>
      </c>
      <c r="M1698" s="865"/>
    </row>
    <row r="1699" spans="1:13" x14ac:dyDescent="0.2">
      <c r="C1699" s="378" t="s">
        <v>759</v>
      </c>
      <c r="D1699" s="202">
        <v>390236</v>
      </c>
      <c r="E1699" s="493">
        <v>6005</v>
      </c>
      <c r="F1699" s="493">
        <v>-3000</v>
      </c>
      <c r="G1699" s="601">
        <v>-2000</v>
      </c>
      <c r="H1699" s="493">
        <f t="shared" si="155"/>
        <v>391241</v>
      </c>
      <c r="I1699" s="493">
        <v>393241</v>
      </c>
      <c r="J1699" s="493">
        <f t="shared" si="151"/>
        <v>3005</v>
      </c>
      <c r="K1699" s="868">
        <f t="shared" si="153"/>
        <v>7.7004684344857983E-3</v>
      </c>
      <c r="L1699" s="493">
        <f t="shared" si="152"/>
        <v>2000</v>
      </c>
      <c r="M1699" s="868">
        <f t="shared" si="154"/>
        <v>5.1119386771836285E-3</v>
      </c>
    </row>
    <row r="1700" spans="1:13" x14ac:dyDescent="0.2">
      <c r="C1700" s="103" t="s">
        <v>119</v>
      </c>
      <c r="D1700" s="489">
        <v>168926</v>
      </c>
      <c r="E1700" s="489">
        <v>4488</v>
      </c>
      <c r="F1700" s="489">
        <v>0</v>
      </c>
      <c r="G1700" s="567">
        <v>0</v>
      </c>
      <c r="H1700" s="489">
        <f t="shared" si="155"/>
        <v>173414</v>
      </c>
      <c r="I1700" s="489">
        <v>174294</v>
      </c>
      <c r="J1700" s="489">
        <f t="shared" si="151"/>
        <v>5368</v>
      </c>
      <c r="K1700" s="869">
        <f t="shared" si="153"/>
        <v>3.1777227898606493E-2</v>
      </c>
      <c r="L1700" s="489">
        <f t="shared" si="152"/>
        <v>880</v>
      </c>
      <c r="M1700" s="869">
        <f t="shared" si="154"/>
        <v>5.0745614540925188E-3</v>
      </c>
    </row>
    <row r="1701" spans="1:13" s="56" customFormat="1" x14ac:dyDescent="0.2">
      <c r="A1701" s="503"/>
      <c r="B1701" s="503"/>
      <c r="C1701" s="283"/>
      <c r="D1701" s="444"/>
      <c r="E1701" s="493"/>
      <c r="F1701" s="444">
        <v>0</v>
      </c>
      <c r="G1701" s="678">
        <v>0</v>
      </c>
      <c r="H1701" s="444">
        <f t="shared" si="155"/>
        <v>0</v>
      </c>
      <c r="I1701" s="444">
        <v>0</v>
      </c>
      <c r="J1701" s="444">
        <f t="shared" si="151"/>
        <v>0</v>
      </c>
      <c r="K1701" s="961"/>
      <c r="L1701" s="444">
        <f t="shared" si="152"/>
        <v>0</v>
      </c>
      <c r="M1701" s="961"/>
    </row>
    <row r="1702" spans="1:13" x14ac:dyDescent="0.2">
      <c r="C1702" s="408" t="s">
        <v>196</v>
      </c>
      <c r="D1702" s="170"/>
      <c r="E1702" s="488"/>
      <c r="F1702" s="488">
        <v>0</v>
      </c>
      <c r="G1702" s="570">
        <v>0</v>
      </c>
      <c r="H1702" s="488">
        <f t="shared" si="155"/>
        <v>0</v>
      </c>
      <c r="I1702" s="488">
        <v>0</v>
      </c>
      <c r="J1702" s="488">
        <f t="shared" si="151"/>
        <v>0</v>
      </c>
      <c r="K1702" s="865"/>
      <c r="L1702" s="488">
        <f t="shared" si="152"/>
        <v>0</v>
      </c>
      <c r="M1702" s="865"/>
    </row>
    <row r="1703" spans="1:13" x14ac:dyDescent="0.2">
      <c r="C1703" s="423" t="s">
        <v>760</v>
      </c>
      <c r="D1703" s="197">
        <v>828854</v>
      </c>
      <c r="E1703" s="496">
        <v>11942</v>
      </c>
      <c r="F1703" s="496">
        <v>0</v>
      </c>
      <c r="G1703" s="613">
        <v>0</v>
      </c>
      <c r="H1703" s="496">
        <f t="shared" si="155"/>
        <v>840796</v>
      </c>
      <c r="I1703" s="496">
        <v>840796</v>
      </c>
      <c r="J1703" s="496">
        <f t="shared" si="151"/>
        <v>11942</v>
      </c>
      <c r="K1703" s="887">
        <f t="shared" si="153"/>
        <v>1.4407845048705804E-2</v>
      </c>
      <c r="L1703" s="494">
        <f t="shared" si="152"/>
        <v>0</v>
      </c>
      <c r="M1703" s="887">
        <f t="shared" si="154"/>
        <v>0</v>
      </c>
    </row>
    <row r="1704" spans="1:13" s="56" customFormat="1" x14ac:dyDescent="0.2">
      <c r="A1704" s="503"/>
      <c r="B1704" s="503"/>
      <c r="C1704" s="405" t="s">
        <v>119</v>
      </c>
      <c r="D1704" s="495">
        <v>571284</v>
      </c>
      <c r="E1704" s="495">
        <v>8925</v>
      </c>
      <c r="F1704" s="495">
        <v>0</v>
      </c>
      <c r="G1704" s="568">
        <v>0</v>
      </c>
      <c r="H1704" s="495">
        <f t="shared" si="155"/>
        <v>580209</v>
      </c>
      <c r="I1704" s="495">
        <v>580209</v>
      </c>
      <c r="J1704" s="495">
        <f t="shared" si="151"/>
        <v>8925</v>
      </c>
      <c r="K1704" s="888">
        <f t="shared" si="153"/>
        <v>1.5622702543743566E-2</v>
      </c>
      <c r="L1704" s="495">
        <f t="shared" si="152"/>
        <v>0</v>
      </c>
      <c r="M1704" s="888">
        <f t="shared" si="154"/>
        <v>0</v>
      </c>
    </row>
    <row r="1705" spans="1:13" x14ac:dyDescent="0.2">
      <c r="C1705" s="452"/>
      <c r="D1705" s="453"/>
      <c r="E1705" s="453"/>
      <c r="F1705" s="453">
        <v>0</v>
      </c>
      <c r="G1705" s="677">
        <v>0</v>
      </c>
      <c r="H1705" s="453">
        <f t="shared" si="155"/>
        <v>0</v>
      </c>
      <c r="I1705" s="453">
        <v>0</v>
      </c>
      <c r="J1705" s="453">
        <f t="shared" si="151"/>
        <v>0</v>
      </c>
      <c r="K1705" s="963"/>
      <c r="L1705" s="453">
        <f t="shared" si="152"/>
        <v>0</v>
      </c>
      <c r="M1705" s="963"/>
    </row>
    <row r="1706" spans="1:13" ht="15" x14ac:dyDescent="0.2">
      <c r="A1706" s="459" t="s">
        <v>870</v>
      </c>
      <c r="B1706" s="459" t="s">
        <v>282</v>
      </c>
      <c r="C1706" s="402" t="s">
        <v>267</v>
      </c>
      <c r="D1706" s="212">
        <f>D1707</f>
        <v>546205</v>
      </c>
      <c r="E1706" s="212"/>
      <c r="F1706" s="497">
        <v>0</v>
      </c>
      <c r="G1706" s="669">
        <f>G1707</f>
        <v>-100000</v>
      </c>
      <c r="H1706" s="497">
        <f t="shared" si="155"/>
        <v>446205</v>
      </c>
      <c r="I1706" s="497">
        <v>573705</v>
      </c>
      <c r="J1706" s="497">
        <f t="shared" si="151"/>
        <v>27500</v>
      </c>
      <c r="K1706" s="956">
        <f t="shared" si="153"/>
        <v>5.0347397039573055E-2</v>
      </c>
      <c r="L1706" s="497">
        <f t="shared" si="152"/>
        <v>127500</v>
      </c>
      <c r="M1706" s="956">
        <f t="shared" si="154"/>
        <v>0.2857431001445524</v>
      </c>
    </row>
    <row r="1707" spans="1:13" x14ac:dyDescent="0.2">
      <c r="C1707" s="292" t="s">
        <v>268</v>
      </c>
      <c r="D1707" s="118">
        <v>546205</v>
      </c>
      <c r="E1707" s="118"/>
      <c r="F1707" s="477">
        <v>0</v>
      </c>
      <c r="G1707" s="566">
        <v>-100000</v>
      </c>
      <c r="H1707" s="477">
        <f t="shared" si="155"/>
        <v>446205</v>
      </c>
      <c r="I1707" s="477">
        <v>573705</v>
      </c>
      <c r="J1707" s="477">
        <f t="shared" si="151"/>
        <v>27500</v>
      </c>
      <c r="K1707" s="909">
        <f t="shared" si="153"/>
        <v>5.0347397039573055E-2</v>
      </c>
      <c r="L1707" s="477">
        <f t="shared" si="152"/>
        <v>127500</v>
      </c>
      <c r="M1707" s="909">
        <f t="shared" si="154"/>
        <v>0.2857431001445524</v>
      </c>
    </row>
    <row r="1708" spans="1:13" x14ac:dyDescent="0.2">
      <c r="C1708" s="320"/>
      <c r="D1708" s="146"/>
      <c r="E1708" s="146"/>
      <c r="F1708" s="498">
        <v>0</v>
      </c>
      <c r="G1708" s="577">
        <v>0</v>
      </c>
      <c r="H1708" s="498">
        <f t="shared" si="155"/>
        <v>0</v>
      </c>
      <c r="I1708" s="498">
        <v>0</v>
      </c>
      <c r="J1708" s="498">
        <f t="shared" si="151"/>
        <v>0</v>
      </c>
      <c r="K1708" s="524"/>
      <c r="L1708" s="498">
        <f t="shared" si="152"/>
        <v>0</v>
      </c>
      <c r="M1708" s="524"/>
    </row>
    <row r="1709" spans="1:13" x14ac:dyDescent="0.2">
      <c r="C1709" s="117" t="s">
        <v>197</v>
      </c>
      <c r="D1709" s="200">
        <f>D1711+D1714+D1722+D1724+D1726+D1728+D1730+D1738+D1720</f>
        <v>3162635</v>
      </c>
      <c r="E1709" s="499">
        <f>E1711+E1714+E1722+E1724+E1726+E1728+E1730+E1738+E1720</f>
        <v>50974</v>
      </c>
      <c r="F1709" s="499">
        <f>F1711+F1714+F1722+F1724+F1726+F1728+F1730+F1738+F1720</f>
        <v>199106</v>
      </c>
      <c r="G1709" s="499">
        <f>G1711+G1714+G1722+G1724+G1726+G1728+G1730+G1738+G1720+G1732</f>
        <v>158614</v>
      </c>
      <c r="H1709" s="499">
        <f t="shared" si="155"/>
        <v>3571329</v>
      </c>
      <c r="I1709" s="499">
        <v>3832238</v>
      </c>
      <c r="J1709" s="499">
        <f t="shared" si="151"/>
        <v>669603</v>
      </c>
      <c r="K1709" s="948">
        <f t="shared" si="153"/>
        <v>0.21172313592937533</v>
      </c>
      <c r="L1709" s="499">
        <f t="shared" si="152"/>
        <v>260909</v>
      </c>
      <c r="M1709" s="948">
        <f t="shared" si="154"/>
        <v>7.305655681680405E-2</v>
      </c>
    </row>
    <row r="1710" spans="1:13" x14ac:dyDescent="0.2">
      <c r="C1710" s="117"/>
      <c r="D1710" s="200"/>
      <c r="E1710" s="200"/>
      <c r="F1710" s="499">
        <v>0</v>
      </c>
      <c r="G1710" s="657">
        <v>0</v>
      </c>
      <c r="H1710" s="499">
        <f t="shared" si="155"/>
        <v>0</v>
      </c>
      <c r="I1710" s="499">
        <v>0</v>
      </c>
      <c r="J1710" s="499">
        <f t="shared" si="151"/>
        <v>0</v>
      </c>
      <c r="K1710" s="948"/>
      <c r="L1710" s="499">
        <f t="shared" si="152"/>
        <v>0</v>
      </c>
      <c r="M1710" s="948"/>
    </row>
    <row r="1711" spans="1:13" x14ac:dyDescent="0.2">
      <c r="A1711" s="459" t="s">
        <v>862</v>
      </c>
      <c r="B1711" s="459" t="s">
        <v>282</v>
      </c>
      <c r="C1711" s="307" t="s">
        <v>272</v>
      </c>
      <c r="D1711" s="202">
        <v>2114462</v>
      </c>
      <c r="E1711" s="493">
        <v>50974</v>
      </c>
      <c r="F1711" s="493">
        <v>196733</v>
      </c>
      <c r="G1711" s="601">
        <v>51814</v>
      </c>
      <c r="H1711" s="601">
        <f t="shared" si="155"/>
        <v>2413983</v>
      </c>
      <c r="I1711" s="601">
        <v>2532160</v>
      </c>
      <c r="J1711" s="601">
        <f t="shared" si="151"/>
        <v>417698</v>
      </c>
      <c r="K1711" s="757">
        <f t="shared" si="153"/>
        <v>0.19754339401701237</v>
      </c>
      <c r="L1711" s="601">
        <f t="shared" si="152"/>
        <v>118177</v>
      </c>
      <c r="M1711" s="757">
        <f t="shared" si="154"/>
        <v>4.8955191482292958E-2</v>
      </c>
    </row>
    <row r="1712" spans="1:13" x14ac:dyDescent="0.2">
      <c r="C1712" s="308" t="s">
        <v>119</v>
      </c>
      <c r="D1712" s="489">
        <f>1347019+778</f>
        <v>1347797</v>
      </c>
      <c r="E1712" s="489">
        <v>38097</v>
      </c>
      <c r="F1712" s="489">
        <v>19748</v>
      </c>
      <c r="G1712" s="781">
        <v>2807</v>
      </c>
      <c r="H1712" s="567">
        <f t="shared" si="155"/>
        <v>1408449</v>
      </c>
      <c r="I1712" s="567">
        <v>1398729</v>
      </c>
      <c r="J1712" s="567">
        <f t="shared" si="151"/>
        <v>50932</v>
      </c>
      <c r="K1712" s="878">
        <f t="shared" si="153"/>
        <v>3.7789073577103968E-2</v>
      </c>
      <c r="L1712" s="567">
        <f t="shared" si="152"/>
        <v>-9720</v>
      </c>
      <c r="M1712" s="878">
        <f t="shared" si="154"/>
        <v>-6.9012083504621045E-3</v>
      </c>
    </row>
    <row r="1713" spans="1:13" x14ac:dyDescent="0.2">
      <c r="C1713" s="393"/>
      <c r="D1713" s="182"/>
      <c r="E1713" s="182"/>
      <c r="F1713" s="491">
        <v>0</v>
      </c>
      <c r="G1713" s="571">
        <v>0</v>
      </c>
      <c r="H1713" s="571">
        <f t="shared" si="155"/>
        <v>0</v>
      </c>
      <c r="I1713" s="571">
        <v>0</v>
      </c>
      <c r="J1713" s="571">
        <f t="shared" si="151"/>
        <v>0</v>
      </c>
      <c r="K1713" s="529"/>
      <c r="L1713" s="571">
        <f t="shared" si="152"/>
        <v>0</v>
      </c>
      <c r="M1713" s="529"/>
    </row>
    <row r="1714" spans="1:13" x14ac:dyDescent="0.2">
      <c r="C1714" s="410" t="s">
        <v>510</v>
      </c>
      <c r="D1714" s="213">
        <f>91956+9196</f>
        <v>101152</v>
      </c>
      <c r="E1714" s="213"/>
      <c r="F1714" s="213">
        <v>12373</v>
      </c>
      <c r="G1714" s="613">
        <v>48000</v>
      </c>
      <c r="H1714" s="613">
        <f t="shared" si="155"/>
        <v>161525</v>
      </c>
      <c r="I1714" s="613">
        <v>177002</v>
      </c>
      <c r="J1714" s="613">
        <f t="shared" si="151"/>
        <v>75850</v>
      </c>
      <c r="K1714" s="825">
        <f t="shared" si="153"/>
        <v>0.74986159443214173</v>
      </c>
      <c r="L1714" s="613">
        <f t="shared" si="152"/>
        <v>15477</v>
      </c>
      <c r="M1714" s="825">
        <f t="shared" si="154"/>
        <v>9.5817984832069339E-2</v>
      </c>
    </row>
    <row r="1715" spans="1:13" x14ac:dyDescent="0.2">
      <c r="A1715" s="459" t="s">
        <v>864</v>
      </c>
      <c r="B1715" s="459" t="s">
        <v>282</v>
      </c>
      <c r="C1715" s="308" t="s">
        <v>529</v>
      </c>
      <c r="D1715" s="145">
        <v>25000</v>
      </c>
      <c r="E1715" s="145"/>
      <c r="F1715" s="489">
        <v>0</v>
      </c>
      <c r="G1715" s="567">
        <v>0</v>
      </c>
      <c r="H1715" s="567">
        <f t="shared" si="155"/>
        <v>25000</v>
      </c>
      <c r="I1715" s="567">
        <v>25000</v>
      </c>
      <c r="J1715" s="567">
        <f t="shared" si="151"/>
        <v>0</v>
      </c>
      <c r="K1715" s="878">
        <f t="shared" si="153"/>
        <v>0</v>
      </c>
      <c r="L1715" s="567">
        <f t="shared" si="152"/>
        <v>0</v>
      </c>
      <c r="M1715" s="878">
        <f t="shared" si="154"/>
        <v>0</v>
      </c>
    </row>
    <row r="1716" spans="1:13" x14ac:dyDescent="0.2">
      <c r="A1716" s="459" t="s">
        <v>865</v>
      </c>
      <c r="B1716" s="459" t="s">
        <v>282</v>
      </c>
      <c r="C1716" s="98" t="s">
        <v>834</v>
      </c>
      <c r="D1716" s="145">
        <v>40000</v>
      </c>
      <c r="E1716" s="145"/>
      <c r="F1716" s="489">
        <v>0</v>
      </c>
      <c r="G1716" s="567"/>
      <c r="H1716" s="567">
        <f t="shared" si="155"/>
        <v>40000</v>
      </c>
      <c r="I1716" s="567">
        <v>40000</v>
      </c>
      <c r="J1716" s="567">
        <f t="shared" si="151"/>
        <v>0</v>
      </c>
      <c r="K1716" s="878">
        <f t="shared" si="153"/>
        <v>0</v>
      </c>
      <c r="L1716" s="567">
        <f t="shared" si="152"/>
        <v>0</v>
      </c>
      <c r="M1716" s="878">
        <f t="shared" si="154"/>
        <v>0</v>
      </c>
    </row>
    <row r="1717" spans="1:13" x14ac:dyDescent="0.2">
      <c r="C1717" s="297" t="s">
        <v>119</v>
      </c>
      <c r="D1717" s="489">
        <v>4800</v>
      </c>
      <c r="E1717" s="145"/>
      <c r="F1717" s="489">
        <v>0</v>
      </c>
      <c r="G1717" s="567">
        <v>1850</v>
      </c>
      <c r="H1717" s="567">
        <f t="shared" si="155"/>
        <v>6650</v>
      </c>
      <c r="I1717" s="567">
        <v>4800</v>
      </c>
      <c r="J1717" s="567">
        <f t="shared" si="151"/>
        <v>0</v>
      </c>
      <c r="K1717" s="878">
        <f t="shared" si="153"/>
        <v>0</v>
      </c>
      <c r="L1717" s="567">
        <f t="shared" si="152"/>
        <v>-1850</v>
      </c>
      <c r="M1717" s="878">
        <f t="shared" si="154"/>
        <v>-0.2781954887218045</v>
      </c>
    </row>
    <row r="1718" spans="1:13" x14ac:dyDescent="0.2">
      <c r="A1718" s="459" t="s">
        <v>864</v>
      </c>
      <c r="B1718" s="459" t="s">
        <v>282</v>
      </c>
      <c r="C1718" s="98" t="s">
        <v>742</v>
      </c>
      <c r="D1718" s="145">
        <v>36152</v>
      </c>
      <c r="E1718" s="145"/>
      <c r="F1718" s="489">
        <v>12373</v>
      </c>
      <c r="G1718" s="567">
        <v>48000</v>
      </c>
      <c r="H1718" s="567">
        <f t="shared" si="155"/>
        <v>96525</v>
      </c>
      <c r="I1718" s="567">
        <v>112002</v>
      </c>
      <c r="J1718" s="567">
        <f t="shared" si="151"/>
        <v>75850</v>
      </c>
      <c r="K1718" s="878">
        <f t="shared" si="153"/>
        <v>2.0980858597034744</v>
      </c>
      <c r="L1718" s="567">
        <f t="shared" si="152"/>
        <v>15477</v>
      </c>
      <c r="M1718" s="878">
        <f t="shared" si="154"/>
        <v>0.16034188034188035</v>
      </c>
    </row>
    <row r="1719" spans="1:13" x14ac:dyDescent="0.2">
      <c r="C1719" s="308"/>
      <c r="D1719" s="145"/>
      <c r="E1719" s="145"/>
      <c r="F1719" s="489">
        <v>0</v>
      </c>
      <c r="G1719" s="567">
        <v>0</v>
      </c>
      <c r="H1719" s="567">
        <f t="shared" si="155"/>
        <v>0</v>
      </c>
      <c r="I1719" s="567">
        <v>0</v>
      </c>
      <c r="J1719" s="567">
        <f t="shared" si="151"/>
        <v>0</v>
      </c>
      <c r="K1719" s="878"/>
      <c r="L1719" s="567">
        <f t="shared" si="152"/>
        <v>0</v>
      </c>
      <c r="M1719" s="878"/>
    </row>
    <row r="1720" spans="1:13" x14ac:dyDescent="0.2">
      <c r="A1720" s="459" t="s">
        <v>864</v>
      </c>
      <c r="B1720" s="459" t="s">
        <v>282</v>
      </c>
      <c r="C1720" s="410" t="s">
        <v>238</v>
      </c>
      <c r="D1720" s="213">
        <v>6000</v>
      </c>
      <c r="E1720" s="213"/>
      <c r="F1720" s="213">
        <v>0</v>
      </c>
      <c r="G1720" s="613">
        <v>0</v>
      </c>
      <c r="H1720" s="613">
        <f t="shared" si="155"/>
        <v>6000</v>
      </c>
      <c r="I1720" s="613">
        <v>8000</v>
      </c>
      <c r="J1720" s="613">
        <f t="shared" ref="J1720:J1787" si="156">I1720-D1720</f>
        <v>2000</v>
      </c>
      <c r="K1720" s="825">
        <f t="shared" ref="K1720:K1787" si="157">J1720/D1720</f>
        <v>0.33333333333333331</v>
      </c>
      <c r="L1720" s="613">
        <f t="shared" ref="L1720:L1787" si="158">I1720-H1720</f>
        <v>2000</v>
      </c>
      <c r="M1720" s="825">
        <f t="shared" ref="M1720:M1787" si="159">L1720/H1720</f>
        <v>0.33333333333333331</v>
      </c>
    </row>
    <row r="1721" spans="1:13" x14ac:dyDescent="0.2">
      <c r="A1721" s="459"/>
      <c r="B1721" s="459"/>
      <c r="C1721" s="410"/>
      <c r="D1721" s="213"/>
      <c r="E1721" s="213"/>
      <c r="F1721" s="213">
        <v>0</v>
      </c>
      <c r="G1721" s="613">
        <v>0</v>
      </c>
      <c r="H1721" s="613">
        <f t="shared" si="155"/>
        <v>0</v>
      </c>
      <c r="I1721" s="613">
        <v>0</v>
      </c>
      <c r="J1721" s="613">
        <f t="shared" si="156"/>
        <v>0</v>
      </c>
      <c r="K1721" s="825"/>
      <c r="L1721" s="613">
        <f t="shared" si="158"/>
        <v>0</v>
      </c>
      <c r="M1721" s="825"/>
    </row>
    <row r="1722" spans="1:13" x14ac:dyDescent="0.2">
      <c r="A1722" s="459" t="s">
        <v>866</v>
      </c>
      <c r="B1722" s="459" t="s">
        <v>282</v>
      </c>
      <c r="C1722" s="410" t="s">
        <v>273</v>
      </c>
      <c r="D1722" s="213">
        <v>112300</v>
      </c>
      <c r="E1722" s="213"/>
      <c r="F1722" s="213">
        <v>0</v>
      </c>
      <c r="G1722" s="613">
        <v>20000</v>
      </c>
      <c r="H1722" s="613">
        <f t="shared" si="155"/>
        <v>132300</v>
      </c>
      <c r="I1722" s="613">
        <v>174649</v>
      </c>
      <c r="J1722" s="613">
        <f t="shared" si="156"/>
        <v>62349</v>
      </c>
      <c r="K1722" s="825">
        <f t="shared" si="157"/>
        <v>0.55520035618878005</v>
      </c>
      <c r="L1722" s="613">
        <f t="shared" si="158"/>
        <v>42349</v>
      </c>
      <c r="M1722" s="825">
        <f t="shared" si="159"/>
        <v>0.32009826152683296</v>
      </c>
    </row>
    <row r="1723" spans="1:13" x14ac:dyDescent="0.2">
      <c r="A1723" s="459"/>
      <c r="B1723" s="459"/>
      <c r="C1723" s="391"/>
      <c r="D1723" s="180"/>
      <c r="E1723" s="180"/>
      <c r="F1723" s="180">
        <v>0</v>
      </c>
      <c r="G1723" s="614">
        <v>0</v>
      </c>
      <c r="H1723" s="614">
        <f t="shared" si="155"/>
        <v>0</v>
      </c>
      <c r="I1723" s="614">
        <v>0</v>
      </c>
      <c r="J1723" s="614">
        <f t="shared" si="156"/>
        <v>0</v>
      </c>
      <c r="K1723" s="883"/>
      <c r="L1723" s="614">
        <f t="shared" si="158"/>
        <v>0</v>
      </c>
      <c r="M1723" s="883"/>
    </row>
    <row r="1724" spans="1:13" x14ac:dyDescent="0.2">
      <c r="A1724" s="459" t="s">
        <v>870</v>
      </c>
      <c r="B1724" s="459" t="s">
        <v>282</v>
      </c>
      <c r="C1724" s="315" t="s">
        <v>269</v>
      </c>
      <c r="D1724" s="197">
        <f>166030+6852</f>
        <v>172882</v>
      </c>
      <c r="E1724" s="197"/>
      <c r="F1724" s="496">
        <v>50000</v>
      </c>
      <c r="G1724" s="613"/>
      <c r="H1724" s="613">
        <f t="shared" si="155"/>
        <v>222882</v>
      </c>
      <c r="I1724" s="613">
        <v>222882</v>
      </c>
      <c r="J1724" s="613">
        <f t="shared" si="156"/>
        <v>50000</v>
      </c>
      <c r="K1724" s="825">
        <f t="shared" si="157"/>
        <v>0.28921460880832012</v>
      </c>
      <c r="L1724" s="613">
        <f t="shared" si="158"/>
        <v>0</v>
      </c>
      <c r="M1724" s="825">
        <f t="shared" si="159"/>
        <v>0</v>
      </c>
    </row>
    <row r="1725" spans="1:13" x14ac:dyDescent="0.2">
      <c r="A1725" s="459"/>
      <c r="B1725" s="459"/>
      <c r="C1725" s="315"/>
      <c r="D1725" s="197"/>
      <c r="E1725" s="197"/>
      <c r="F1725" s="496">
        <v>0</v>
      </c>
      <c r="G1725" s="613">
        <v>0</v>
      </c>
      <c r="H1725" s="613">
        <f t="shared" si="155"/>
        <v>0</v>
      </c>
      <c r="I1725" s="613">
        <v>0</v>
      </c>
      <c r="J1725" s="613">
        <f t="shared" si="156"/>
        <v>0</v>
      </c>
      <c r="K1725" s="825"/>
      <c r="L1725" s="613">
        <f t="shared" si="158"/>
        <v>0</v>
      </c>
      <c r="M1725" s="825"/>
    </row>
    <row r="1726" spans="1:13" x14ac:dyDescent="0.2">
      <c r="A1726" s="459" t="s">
        <v>870</v>
      </c>
      <c r="B1726" s="459" t="s">
        <v>282</v>
      </c>
      <c r="C1726" s="410" t="s">
        <v>274</v>
      </c>
      <c r="D1726" s="213">
        <v>143000</v>
      </c>
      <c r="E1726" s="213"/>
      <c r="F1726" s="213">
        <v>-43000</v>
      </c>
      <c r="G1726" s="613"/>
      <c r="H1726" s="613">
        <f t="shared" ref="H1726:H1793" si="160">D1726+E1726+F1726+G1726</f>
        <v>100000</v>
      </c>
      <c r="I1726" s="613">
        <v>143000</v>
      </c>
      <c r="J1726" s="613">
        <f t="shared" si="156"/>
        <v>0</v>
      </c>
      <c r="K1726" s="825">
        <f t="shared" si="157"/>
        <v>0</v>
      </c>
      <c r="L1726" s="613">
        <f t="shared" si="158"/>
        <v>43000</v>
      </c>
      <c r="M1726" s="825">
        <f t="shared" si="159"/>
        <v>0.43</v>
      </c>
    </row>
    <row r="1727" spans="1:13" s="486" customFormat="1" x14ac:dyDescent="0.2">
      <c r="A1727" s="459"/>
      <c r="B1727" s="459"/>
      <c r="C1727" s="315"/>
      <c r="D1727" s="197"/>
      <c r="E1727" s="197"/>
      <c r="F1727" s="496">
        <v>0</v>
      </c>
      <c r="G1727" s="613">
        <v>0</v>
      </c>
      <c r="H1727" s="613">
        <f t="shared" si="160"/>
        <v>0</v>
      </c>
      <c r="I1727" s="613">
        <v>0</v>
      </c>
      <c r="J1727" s="613">
        <f t="shared" si="156"/>
        <v>0</v>
      </c>
      <c r="K1727" s="825"/>
      <c r="L1727" s="613">
        <f t="shared" si="158"/>
        <v>0</v>
      </c>
      <c r="M1727" s="825"/>
    </row>
    <row r="1728" spans="1:13" s="486" customFormat="1" x14ac:dyDescent="0.2">
      <c r="A1728" s="459" t="s">
        <v>869</v>
      </c>
      <c r="B1728" s="459" t="s">
        <v>282</v>
      </c>
      <c r="C1728" s="104" t="s">
        <v>275</v>
      </c>
      <c r="D1728" s="172">
        <v>141839</v>
      </c>
      <c r="E1728" s="172"/>
      <c r="F1728" s="172">
        <v>0</v>
      </c>
      <c r="G1728" s="574">
        <v>0</v>
      </c>
      <c r="H1728" s="574">
        <f t="shared" si="160"/>
        <v>141839</v>
      </c>
      <c r="I1728" s="574">
        <v>140000</v>
      </c>
      <c r="J1728" s="574">
        <f t="shared" si="156"/>
        <v>-1839</v>
      </c>
      <c r="K1728" s="757">
        <f t="shared" si="157"/>
        <v>-1.2965404437425531E-2</v>
      </c>
      <c r="L1728" s="574">
        <f t="shared" si="158"/>
        <v>-1839</v>
      </c>
      <c r="M1728" s="757">
        <f t="shared" si="159"/>
        <v>-1.2965404437425531E-2</v>
      </c>
    </row>
    <row r="1729" spans="1:13" s="486" customFormat="1" x14ac:dyDescent="0.2">
      <c r="A1729" s="459"/>
      <c r="B1729" s="459"/>
      <c r="C1729" s="320"/>
      <c r="D1729" s="146"/>
      <c r="E1729" s="146"/>
      <c r="F1729" s="498">
        <v>0</v>
      </c>
      <c r="G1729" s="577">
        <v>0</v>
      </c>
      <c r="H1729" s="577">
        <f t="shared" si="160"/>
        <v>0</v>
      </c>
      <c r="I1729" s="577">
        <v>0</v>
      </c>
      <c r="J1729" s="577">
        <f t="shared" si="156"/>
        <v>0</v>
      </c>
      <c r="K1729" s="757"/>
      <c r="L1729" s="577">
        <f t="shared" si="158"/>
        <v>0</v>
      </c>
      <c r="M1729" s="757"/>
    </row>
    <row r="1730" spans="1:13" s="486" customFormat="1" x14ac:dyDescent="0.2">
      <c r="A1730" s="459" t="s">
        <v>869</v>
      </c>
      <c r="B1730" s="459" t="s">
        <v>282</v>
      </c>
      <c r="C1730" s="104" t="s">
        <v>252</v>
      </c>
      <c r="D1730" s="172">
        <v>351000</v>
      </c>
      <c r="E1730" s="172"/>
      <c r="F1730" s="172">
        <v>-17000</v>
      </c>
      <c r="G1730" s="574">
        <v>22000</v>
      </c>
      <c r="H1730" s="574">
        <f t="shared" si="160"/>
        <v>356000</v>
      </c>
      <c r="I1730" s="574">
        <v>414545</v>
      </c>
      <c r="J1730" s="574">
        <f t="shared" si="156"/>
        <v>63545</v>
      </c>
      <c r="K1730" s="757">
        <f t="shared" si="157"/>
        <v>0.18103988603988605</v>
      </c>
      <c r="L1730" s="574">
        <f t="shared" si="158"/>
        <v>58545</v>
      </c>
      <c r="M1730" s="757">
        <f t="shared" si="159"/>
        <v>0.16445224719101123</v>
      </c>
    </row>
    <row r="1731" spans="1:13" s="486" customFormat="1" x14ac:dyDescent="0.2">
      <c r="A1731" s="459"/>
      <c r="B1731" s="459"/>
      <c r="C1731" s="104"/>
      <c r="D1731" s="172"/>
      <c r="E1731" s="172"/>
      <c r="F1731" s="172"/>
      <c r="G1731" s="574"/>
      <c r="H1731" s="574">
        <f t="shared" si="160"/>
        <v>0</v>
      </c>
      <c r="I1731" s="574">
        <v>0</v>
      </c>
      <c r="J1731" s="574">
        <f t="shared" si="156"/>
        <v>0</v>
      </c>
      <c r="K1731" s="757"/>
      <c r="L1731" s="574">
        <f t="shared" si="158"/>
        <v>0</v>
      </c>
      <c r="M1731" s="757"/>
    </row>
    <row r="1732" spans="1:13" s="486" customFormat="1" ht="38.25" x14ac:dyDescent="0.2">
      <c r="A1732" s="459" t="s">
        <v>872</v>
      </c>
      <c r="B1732" s="459" t="s">
        <v>282</v>
      </c>
      <c r="C1732" s="681" t="s">
        <v>1056</v>
      </c>
      <c r="D1732" s="172"/>
      <c r="E1732" s="172"/>
      <c r="F1732" s="172"/>
      <c r="G1732" s="787">
        <v>31800</v>
      </c>
      <c r="H1732" s="571">
        <f t="shared" si="160"/>
        <v>31800</v>
      </c>
      <c r="I1732" s="571">
        <v>0</v>
      </c>
      <c r="J1732" s="571">
        <f t="shared" si="156"/>
        <v>0</v>
      </c>
      <c r="K1732" s="529"/>
      <c r="L1732" s="571">
        <f t="shared" si="158"/>
        <v>-31800</v>
      </c>
      <c r="M1732" s="529">
        <f t="shared" si="159"/>
        <v>-1</v>
      </c>
    </row>
    <row r="1733" spans="1:13" x14ac:dyDescent="0.2">
      <c r="A1733" s="459"/>
      <c r="B1733" s="459"/>
      <c r="C1733" s="308" t="s">
        <v>119</v>
      </c>
      <c r="D1733" s="172"/>
      <c r="E1733" s="172"/>
      <c r="F1733" s="172"/>
      <c r="G1733" s="571">
        <v>20920</v>
      </c>
      <c r="H1733" s="574">
        <f t="shared" si="160"/>
        <v>20920</v>
      </c>
      <c r="I1733" s="574">
        <v>0</v>
      </c>
      <c r="J1733" s="574">
        <f t="shared" si="156"/>
        <v>0</v>
      </c>
      <c r="K1733" s="757"/>
      <c r="L1733" s="574">
        <f t="shared" si="158"/>
        <v>-20920</v>
      </c>
      <c r="M1733" s="757">
        <f t="shared" si="159"/>
        <v>-1</v>
      </c>
    </row>
    <row r="1734" spans="1:13" x14ac:dyDescent="0.2">
      <c r="A1734" s="459"/>
      <c r="B1734" s="459"/>
      <c r="C1734" s="758"/>
      <c r="D1734" s="172"/>
      <c r="E1734" s="172"/>
      <c r="F1734" s="172"/>
      <c r="G1734" s="571"/>
      <c r="H1734" s="571">
        <f t="shared" si="160"/>
        <v>0</v>
      </c>
      <c r="I1734" s="571">
        <v>0</v>
      </c>
      <c r="J1734" s="571">
        <f t="shared" si="156"/>
        <v>0</v>
      </c>
      <c r="K1734" s="529"/>
      <c r="L1734" s="571">
        <f t="shared" si="158"/>
        <v>0</v>
      </c>
      <c r="M1734" s="529"/>
    </row>
    <row r="1735" spans="1:13" ht="24" x14ac:dyDescent="0.2">
      <c r="A1735" s="459"/>
      <c r="B1735" s="459"/>
      <c r="C1735" s="696" t="s">
        <v>677</v>
      </c>
      <c r="D1735" s="172"/>
      <c r="E1735" s="172"/>
      <c r="F1735" s="172"/>
      <c r="G1735" s="571">
        <v>25440</v>
      </c>
      <c r="H1735" s="571">
        <f t="shared" si="160"/>
        <v>25440</v>
      </c>
      <c r="I1735" s="571">
        <v>0</v>
      </c>
      <c r="J1735" s="571">
        <f t="shared" si="156"/>
        <v>0</v>
      </c>
      <c r="K1735" s="529"/>
      <c r="L1735" s="571">
        <f t="shared" si="158"/>
        <v>-25440</v>
      </c>
      <c r="M1735" s="529">
        <f t="shared" si="159"/>
        <v>-1</v>
      </c>
    </row>
    <row r="1736" spans="1:13" x14ac:dyDescent="0.2">
      <c r="A1736" s="459"/>
      <c r="B1736" s="459"/>
      <c r="C1736" s="104"/>
      <c r="D1736" s="172"/>
      <c r="E1736" s="172"/>
      <c r="F1736" s="172"/>
      <c r="G1736" s="571"/>
      <c r="H1736" s="571">
        <f t="shared" si="160"/>
        <v>0</v>
      </c>
      <c r="I1736" s="571">
        <v>0</v>
      </c>
      <c r="J1736" s="571">
        <f t="shared" si="156"/>
        <v>0</v>
      </c>
      <c r="K1736" s="529"/>
      <c r="L1736" s="571">
        <f t="shared" si="158"/>
        <v>0</v>
      </c>
      <c r="M1736" s="529"/>
    </row>
    <row r="1737" spans="1:13" x14ac:dyDescent="0.2">
      <c r="C1737" s="393"/>
      <c r="D1737" s="182"/>
      <c r="E1737" s="182"/>
      <c r="F1737" s="491">
        <v>0</v>
      </c>
      <c r="G1737" s="571"/>
      <c r="H1737" s="571">
        <f t="shared" si="160"/>
        <v>0</v>
      </c>
      <c r="I1737" s="571">
        <v>0</v>
      </c>
      <c r="J1737" s="571">
        <f t="shared" si="156"/>
        <v>0</v>
      </c>
      <c r="K1737" s="529"/>
      <c r="L1737" s="571">
        <f t="shared" si="158"/>
        <v>0</v>
      </c>
      <c r="M1737" s="529"/>
    </row>
    <row r="1738" spans="1:13" x14ac:dyDescent="0.2">
      <c r="A1738" s="459" t="s">
        <v>883</v>
      </c>
      <c r="B1738" s="459" t="s">
        <v>282</v>
      </c>
      <c r="C1738" s="104" t="s">
        <v>276</v>
      </c>
      <c r="D1738" s="172">
        <v>20000</v>
      </c>
      <c r="E1738" s="172"/>
      <c r="F1738" s="172">
        <v>0</v>
      </c>
      <c r="G1738" s="574">
        <v>-15000</v>
      </c>
      <c r="H1738" s="574">
        <f t="shared" si="160"/>
        <v>5000</v>
      </c>
      <c r="I1738" s="574">
        <v>20000</v>
      </c>
      <c r="J1738" s="574">
        <f t="shared" si="156"/>
        <v>0</v>
      </c>
      <c r="K1738" s="757">
        <f t="shared" si="157"/>
        <v>0</v>
      </c>
      <c r="L1738" s="574">
        <f t="shared" si="158"/>
        <v>15000</v>
      </c>
      <c r="M1738" s="757">
        <f t="shared" si="159"/>
        <v>3</v>
      </c>
    </row>
    <row r="1739" spans="1:13" x14ac:dyDescent="0.2">
      <c r="C1739" s="364"/>
      <c r="D1739" s="164"/>
      <c r="E1739" s="164"/>
      <c r="F1739" s="164">
        <v>0</v>
      </c>
      <c r="G1739"/>
      <c r="H1739" s="164">
        <f t="shared" si="160"/>
        <v>0</v>
      </c>
      <c r="I1739" s="164">
        <v>0</v>
      </c>
      <c r="J1739" s="164">
        <f t="shared" si="156"/>
        <v>0</v>
      </c>
      <c r="K1739" s="871"/>
      <c r="L1739" s="164">
        <f t="shared" si="158"/>
        <v>0</v>
      </c>
      <c r="M1739" s="871"/>
    </row>
    <row r="1740" spans="1:13" x14ac:dyDescent="0.2">
      <c r="C1740" s="364"/>
      <c r="D1740" s="164"/>
      <c r="E1740" s="164"/>
      <c r="F1740" s="164">
        <v>0</v>
      </c>
      <c r="G1740"/>
      <c r="H1740" s="164">
        <f t="shared" si="160"/>
        <v>0</v>
      </c>
      <c r="I1740" s="164">
        <v>0</v>
      </c>
      <c r="J1740" s="164">
        <f t="shared" si="156"/>
        <v>0</v>
      </c>
      <c r="K1740" s="871"/>
      <c r="L1740" s="164">
        <f t="shared" si="158"/>
        <v>0</v>
      </c>
      <c r="M1740" s="871"/>
    </row>
    <row r="1741" spans="1:13" ht="15.75" x14ac:dyDescent="0.2">
      <c r="C1741" s="289" t="s">
        <v>458</v>
      </c>
      <c r="D1741" s="176"/>
      <c r="E1741" s="176"/>
      <c r="F1741" s="176">
        <v>0</v>
      </c>
      <c r="G1741" s="176"/>
      <c r="H1741" s="176">
        <f t="shared" si="160"/>
        <v>0</v>
      </c>
      <c r="I1741" s="176">
        <v>0</v>
      </c>
      <c r="J1741" s="176">
        <f t="shared" si="156"/>
        <v>0</v>
      </c>
      <c r="K1741" s="906"/>
      <c r="L1741" s="176">
        <f t="shared" si="158"/>
        <v>0</v>
      </c>
      <c r="M1741" s="906"/>
    </row>
    <row r="1742" spans="1:13" x14ac:dyDescent="0.2">
      <c r="C1742" s="104"/>
      <c r="D1742" s="172"/>
      <c r="E1742" s="172"/>
      <c r="F1742" s="172">
        <v>0</v>
      </c>
      <c r="G1742" s="172"/>
      <c r="H1742" s="172">
        <f t="shared" si="160"/>
        <v>0</v>
      </c>
      <c r="I1742" s="172">
        <v>0</v>
      </c>
      <c r="J1742" s="172">
        <f t="shared" si="156"/>
        <v>0</v>
      </c>
      <c r="K1742" s="524"/>
      <c r="L1742" s="172">
        <f t="shared" si="158"/>
        <v>0</v>
      </c>
      <c r="M1742" s="524"/>
    </row>
    <row r="1743" spans="1:13" x14ac:dyDescent="0.2">
      <c r="C1743" s="418" t="s">
        <v>459</v>
      </c>
      <c r="D1743" s="177">
        <f>4020000-1020000</f>
        <v>3000000</v>
      </c>
      <c r="E1743" s="177"/>
      <c r="F1743" s="501">
        <v>0</v>
      </c>
      <c r="G1743" s="501">
        <v>-693225</v>
      </c>
      <c r="H1743" s="501">
        <f t="shared" si="160"/>
        <v>2306775</v>
      </c>
      <c r="I1743" s="501">
        <v>3000000</v>
      </c>
      <c r="J1743" s="501">
        <f t="shared" si="156"/>
        <v>0</v>
      </c>
      <c r="K1743" s="528">
        <f t="shared" si="157"/>
        <v>0</v>
      </c>
      <c r="L1743" s="501">
        <f t="shared" si="158"/>
        <v>693225</v>
      </c>
      <c r="M1743" s="528">
        <f t="shared" si="159"/>
        <v>0.30051695548980722</v>
      </c>
    </row>
    <row r="1744" spans="1:13" x14ac:dyDescent="0.2">
      <c r="C1744" s="424"/>
      <c r="D1744" s="177"/>
      <c r="E1744" s="177"/>
      <c r="F1744" s="501">
        <v>0</v>
      </c>
      <c r="G1744" s="501"/>
      <c r="H1744" s="501">
        <f t="shared" si="160"/>
        <v>0</v>
      </c>
      <c r="I1744" s="501">
        <v>0</v>
      </c>
      <c r="J1744" s="501">
        <f t="shared" si="156"/>
        <v>0</v>
      </c>
      <c r="K1744" s="528"/>
      <c r="L1744" s="501">
        <f t="shared" si="158"/>
        <v>0</v>
      </c>
      <c r="M1744" s="528"/>
    </row>
    <row r="1745" spans="1:13" x14ac:dyDescent="0.2">
      <c r="C1745" s="418" t="s">
        <v>460</v>
      </c>
      <c r="D1745" s="177">
        <f>D1746+D1747</f>
        <v>5450000</v>
      </c>
      <c r="E1745" s="177"/>
      <c r="F1745" s="501">
        <f>F1746+F1747</f>
        <v>-49939</v>
      </c>
      <c r="G1745" s="501">
        <f>G1746+G1747</f>
        <v>-53422</v>
      </c>
      <c r="H1745" s="501">
        <f t="shared" si="160"/>
        <v>5346639</v>
      </c>
      <c r="I1745" s="501">
        <v>7000000</v>
      </c>
      <c r="J1745" s="501">
        <f t="shared" si="156"/>
        <v>1550000</v>
      </c>
      <c r="K1745" s="528">
        <f t="shared" si="157"/>
        <v>0.28440366972477066</v>
      </c>
      <c r="L1745" s="501">
        <f t="shared" si="158"/>
        <v>1653361</v>
      </c>
      <c r="M1745" s="528">
        <f t="shared" si="159"/>
        <v>0.30923370738140354</v>
      </c>
    </row>
    <row r="1746" spans="1:13" x14ac:dyDescent="0.2">
      <c r="C1746" s="424" t="s">
        <v>461</v>
      </c>
      <c r="D1746" s="177">
        <v>950000</v>
      </c>
      <c r="E1746" s="177"/>
      <c r="F1746" s="501">
        <v>-15980</v>
      </c>
      <c r="G1746" s="501"/>
      <c r="H1746" s="501">
        <f t="shared" si="160"/>
        <v>934020</v>
      </c>
      <c r="I1746" s="501">
        <v>1000000</v>
      </c>
      <c r="J1746" s="501">
        <f t="shared" si="156"/>
        <v>50000</v>
      </c>
      <c r="K1746" s="528">
        <f t="shared" si="157"/>
        <v>5.2631578947368418E-2</v>
      </c>
      <c r="L1746" s="501">
        <f t="shared" si="158"/>
        <v>65980</v>
      </c>
      <c r="M1746" s="528">
        <f t="shared" si="159"/>
        <v>7.0640885634140602E-2</v>
      </c>
    </row>
    <row r="1747" spans="1:13" x14ac:dyDescent="0.2">
      <c r="C1747" s="424" t="s">
        <v>462</v>
      </c>
      <c r="D1747" s="177">
        <f>SUM(D1748:D1751)</f>
        <v>4500000</v>
      </c>
      <c r="E1747" s="177"/>
      <c r="F1747" s="501">
        <f>SUM(F1748:F1751)</f>
        <v>-33959</v>
      </c>
      <c r="G1747" s="501">
        <f>SUM(G1748:G1751)</f>
        <v>-53422</v>
      </c>
      <c r="H1747" s="501">
        <f t="shared" si="160"/>
        <v>4412619</v>
      </c>
      <c r="I1747" s="501">
        <v>6000000</v>
      </c>
      <c r="J1747" s="501">
        <f t="shared" si="156"/>
        <v>1500000</v>
      </c>
      <c r="K1747" s="528">
        <f t="shared" si="157"/>
        <v>0.33333333333333331</v>
      </c>
      <c r="L1747" s="501">
        <f t="shared" si="158"/>
        <v>1587381</v>
      </c>
      <c r="M1747" s="528">
        <f t="shared" si="159"/>
        <v>0.35973670058529866</v>
      </c>
    </row>
    <row r="1748" spans="1:13" x14ac:dyDescent="0.2">
      <c r="C1748" s="425" t="s">
        <v>463</v>
      </c>
      <c r="D1748" s="172">
        <v>750000</v>
      </c>
      <c r="E1748" s="172"/>
      <c r="F1748" s="172">
        <v>0</v>
      </c>
      <c r="G1748" s="172">
        <v>-25447</v>
      </c>
      <c r="H1748" s="172">
        <f t="shared" si="160"/>
        <v>724553</v>
      </c>
      <c r="I1748" s="172">
        <v>1500000</v>
      </c>
      <c r="J1748" s="172">
        <f t="shared" si="156"/>
        <v>750000</v>
      </c>
      <c r="K1748" s="524">
        <f t="shared" si="157"/>
        <v>1</v>
      </c>
      <c r="L1748" s="172">
        <f t="shared" si="158"/>
        <v>775447</v>
      </c>
      <c r="M1748" s="524">
        <f t="shared" si="159"/>
        <v>1.0702419284717613</v>
      </c>
    </row>
    <row r="1749" spans="1:13" ht="25.5" x14ac:dyDescent="0.2">
      <c r="C1749" s="426" t="s">
        <v>464</v>
      </c>
      <c r="D1749" s="178">
        <v>2000000</v>
      </c>
      <c r="E1749" s="178"/>
      <c r="F1749" s="178">
        <v>-951501</v>
      </c>
      <c r="G1749" s="178"/>
      <c r="H1749" s="178">
        <f t="shared" si="160"/>
        <v>1048499</v>
      </c>
      <c r="I1749" s="178">
        <v>2000000</v>
      </c>
      <c r="J1749" s="178">
        <f t="shared" si="156"/>
        <v>0</v>
      </c>
      <c r="K1749" s="953">
        <f t="shared" si="157"/>
        <v>0</v>
      </c>
      <c r="L1749" s="178">
        <f t="shared" si="158"/>
        <v>951501</v>
      </c>
      <c r="M1749" s="953">
        <f t="shared" si="159"/>
        <v>0.9074887052825038</v>
      </c>
    </row>
    <row r="1750" spans="1:13" ht="38.25" x14ac:dyDescent="0.2">
      <c r="C1750" s="426" t="s">
        <v>788</v>
      </c>
      <c r="D1750" s="178">
        <v>1000000</v>
      </c>
      <c r="E1750" s="178"/>
      <c r="F1750" s="178">
        <v>1000000</v>
      </c>
      <c r="G1750" s="178"/>
      <c r="H1750" s="178">
        <f t="shared" si="160"/>
        <v>2000000</v>
      </c>
      <c r="I1750" s="178">
        <v>1000000</v>
      </c>
      <c r="J1750" s="178">
        <f t="shared" si="156"/>
        <v>0</v>
      </c>
      <c r="K1750" s="953">
        <f t="shared" si="157"/>
        <v>0</v>
      </c>
      <c r="L1750" s="178">
        <f t="shared" si="158"/>
        <v>-1000000</v>
      </c>
      <c r="M1750" s="953">
        <f t="shared" si="159"/>
        <v>-0.5</v>
      </c>
    </row>
    <row r="1751" spans="1:13" x14ac:dyDescent="0.2">
      <c r="C1751" s="427" t="s">
        <v>465</v>
      </c>
      <c r="D1751" s="179">
        <v>750000</v>
      </c>
      <c r="E1751" s="179"/>
      <c r="F1751" s="179">
        <v>-82458</v>
      </c>
      <c r="G1751" s="178">
        <v>-27975</v>
      </c>
      <c r="H1751" s="179">
        <f t="shared" si="160"/>
        <v>639567</v>
      </c>
      <c r="I1751" s="179">
        <v>1500000</v>
      </c>
      <c r="J1751" s="179">
        <f t="shared" si="156"/>
        <v>750000</v>
      </c>
      <c r="K1751" s="542">
        <f t="shared" si="157"/>
        <v>1</v>
      </c>
      <c r="L1751" s="179">
        <f t="shared" si="158"/>
        <v>860433</v>
      </c>
      <c r="M1751" s="542">
        <f t="shared" si="159"/>
        <v>1.3453367669063601</v>
      </c>
    </row>
    <row r="1752" spans="1:13" s="486" customFormat="1" ht="33.75" x14ac:dyDescent="0.2">
      <c r="A1752" s="503"/>
      <c r="B1752" s="503"/>
      <c r="C1752" s="391" t="s">
        <v>466</v>
      </c>
      <c r="D1752" s="180"/>
      <c r="E1752" s="180"/>
      <c r="F1752" s="180">
        <v>0</v>
      </c>
      <c r="G1752" s="180"/>
      <c r="H1752" s="180">
        <f t="shared" si="160"/>
        <v>0</v>
      </c>
      <c r="I1752" s="180">
        <v>0</v>
      </c>
      <c r="J1752" s="180">
        <f t="shared" si="156"/>
        <v>0</v>
      </c>
      <c r="K1752" s="911"/>
      <c r="L1752" s="180">
        <f t="shared" si="158"/>
        <v>0</v>
      </c>
      <c r="M1752" s="911"/>
    </row>
    <row r="1753" spans="1:13" s="486" customFormat="1" x14ac:dyDescent="0.2">
      <c r="A1753" s="503"/>
      <c r="B1753" s="503"/>
      <c r="C1753" s="391"/>
      <c r="D1753" s="180"/>
      <c r="E1753" s="180"/>
      <c r="F1753" s="180">
        <v>0</v>
      </c>
      <c r="G1753" s="180"/>
      <c r="H1753" s="180">
        <f t="shared" si="160"/>
        <v>0</v>
      </c>
      <c r="I1753" s="180">
        <v>0</v>
      </c>
      <c r="J1753" s="180">
        <f t="shared" si="156"/>
        <v>0</v>
      </c>
      <c r="K1753" s="911"/>
      <c r="L1753" s="180">
        <f t="shared" si="158"/>
        <v>0</v>
      </c>
      <c r="M1753" s="911"/>
    </row>
    <row r="1754" spans="1:13" x14ac:dyDescent="0.2">
      <c r="C1754" s="304" t="s">
        <v>832</v>
      </c>
      <c r="D1754" s="118">
        <v>250000</v>
      </c>
      <c r="E1754" s="118"/>
      <c r="F1754" s="477">
        <v>0</v>
      </c>
      <c r="G1754" s="477"/>
      <c r="H1754" s="477">
        <f t="shared" si="160"/>
        <v>250000</v>
      </c>
      <c r="I1754" s="477">
        <v>6430000</v>
      </c>
      <c r="J1754" s="477">
        <f t="shared" si="156"/>
        <v>6180000</v>
      </c>
      <c r="K1754" s="909">
        <f t="shared" si="157"/>
        <v>24.72</v>
      </c>
      <c r="L1754" s="477">
        <f t="shared" si="158"/>
        <v>6180000</v>
      </c>
      <c r="M1754" s="909">
        <f t="shared" si="159"/>
        <v>24.72</v>
      </c>
    </row>
    <row r="1755" spans="1:13" x14ac:dyDescent="0.2">
      <c r="C1755" s="391"/>
      <c r="D1755" s="180"/>
      <c r="E1755" s="180"/>
      <c r="F1755" s="180">
        <v>0</v>
      </c>
      <c r="G1755" s="180"/>
      <c r="H1755" s="180">
        <f t="shared" si="160"/>
        <v>0</v>
      </c>
      <c r="I1755" s="180">
        <v>0</v>
      </c>
      <c r="J1755" s="180">
        <f t="shared" si="156"/>
        <v>0</v>
      </c>
      <c r="K1755" s="911"/>
      <c r="L1755" s="180">
        <f t="shared" si="158"/>
        <v>0</v>
      </c>
      <c r="M1755" s="911"/>
    </row>
    <row r="1756" spans="1:13" x14ac:dyDescent="0.2">
      <c r="C1756" s="773" t="s">
        <v>1070</v>
      </c>
      <c r="D1756" s="477"/>
      <c r="E1756" s="477"/>
      <c r="F1756" s="477">
        <v>0</v>
      </c>
      <c r="G1756" s="477">
        <v>2000000</v>
      </c>
      <c r="H1756" s="477">
        <f t="shared" si="160"/>
        <v>2000000</v>
      </c>
      <c r="I1756" s="477">
        <v>0</v>
      </c>
      <c r="J1756" s="477">
        <f t="shared" si="156"/>
        <v>0</v>
      </c>
      <c r="K1756" s="909"/>
      <c r="L1756" s="477">
        <f t="shared" si="158"/>
        <v>-2000000</v>
      </c>
      <c r="M1756" s="909">
        <f t="shared" si="159"/>
        <v>-1</v>
      </c>
    </row>
    <row r="1757" spans="1:13" x14ac:dyDescent="0.2">
      <c r="C1757" s="391"/>
      <c r="D1757" s="180"/>
      <c r="E1757" s="180"/>
      <c r="F1757" s="180">
        <v>0</v>
      </c>
      <c r="G1757" s="180"/>
      <c r="H1757" s="180">
        <f t="shared" si="160"/>
        <v>0</v>
      </c>
      <c r="I1757" s="180">
        <v>0</v>
      </c>
      <c r="J1757" s="180">
        <f t="shared" si="156"/>
        <v>0</v>
      </c>
      <c r="K1757" s="911"/>
      <c r="L1757" s="180">
        <f t="shared" si="158"/>
        <v>0</v>
      </c>
      <c r="M1757" s="911"/>
    </row>
    <row r="1758" spans="1:13" x14ac:dyDescent="0.2">
      <c r="C1758" s="304" t="s">
        <v>467</v>
      </c>
      <c r="D1758" s="118">
        <v>19000000</v>
      </c>
      <c r="E1758" s="118"/>
      <c r="F1758" s="477">
        <v>0</v>
      </c>
      <c r="G1758" s="477"/>
      <c r="H1758" s="477">
        <f t="shared" si="160"/>
        <v>19000000</v>
      </c>
      <c r="I1758" s="477">
        <v>19000000</v>
      </c>
      <c r="J1758" s="477">
        <f t="shared" si="156"/>
        <v>0</v>
      </c>
      <c r="K1758" s="909">
        <f t="shared" si="157"/>
        <v>0</v>
      </c>
      <c r="L1758" s="477">
        <f t="shared" si="158"/>
        <v>0</v>
      </c>
      <c r="M1758" s="909">
        <f t="shared" si="159"/>
        <v>0</v>
      </c>
    </row>
    <row r="1759" spans="1:13" x14ac:dyDescent="0.2">
      <c r="C1759" s="304"/>
      <c r="D1759" s="118"/>
      <c r="E1759" s="118"/>
      <c r="F1759" s="477">
        <v>0</v>
      </c>
      <c r="G1759" s="477"/>
      <c r="H1759" s="477">
        <f t="shared" si="160"/>
        <v>0</v>
      </c>
      <c r="I1759" s="477">
        <v>0</v>
      </c>
      <c r="J1759" s="477">
        <f t="shared" si="156"/>
        <v>0</v>
      </c>
      <c r="K1759" s="909"/>
      <c r="L1759" s="477">
        <f t="shared" si="158"/>
        <v>0</v>
      </c>
      <c r="M1759" s="909"/>
    </row>
    <row r="1760" spans="1:13" ht="15.75" x14ac:dyDescent="0.2">
      <c r="C1760" s="428" t="s">
        <v>52</v>
      </c>
      <c r="D1760" s="502">
        <f>SUMIF($C$1:$C$1754,$C$1677,D$1:D$1754)+D1743+D1745+D1754+D1758</f>
        <v>675719760</v>
      </c>
      <c r="E1760" s="502">
        <f>SUMIF($C$1:$C$1754,$C$1677,E$1:E$1754)+E1743+E1745+E1754+E1758</f>
        <v>0</v>
      </c>
      <c r="F1760" s="502">
        <f>SUMIF($C$1:$C$1754,$C$1677,F$1:F$1754)+F1743+F1745+F1754+F1758</f>
        <v>18991103</v>
      </c>
      <c r="G1760" s="502">
        <f>SUMIF($C$1:$C$1754,$C$1677,G$1:G$1754)+G1743+G1745+G1754+G1758+G1756</f>
        <v>9485796</v>
      </c>
      <c r="H1760" s="502">
        <f t="shared" si="160"/>
        <v>704196659</v>
      </c>
      <c r="I1760" s="502">
        <v>746685426</v>
      </c>
      <c r="J1760" s="502">
        <f t="shared" si="156"/>
        <v>70965666</v>
      </c>
      <c r="K1760" s="964">
        <f t="shared" si="157"/>
        <v>0.10502233351885402</v>
      </c>
      <c r="L1760" s="502">
        <f t="shared" si="158"/>
        <v>42488767</v>
      </c>
      <c r="M1760" s="964">
        <f t="shared" si="159"/>
        <v>6.0336507503935773E-2</v>
      </c>
    </row>
    <row r="1761" spans="1:14" x14ac:dyDescent="0.2">
      <c r="C1761" s="308" t="s">
        <v>119</v>
      </c>
      <c r="D1761" s="489">
        <f ca="1">SUMIF($C$1:D$1754,$C$15,D$1:D$1754)-D629-D665-D690-D753-D1082-D1102-D1112-D349-D356-D360-D484-D508-D366-D226-D269-D276-D647-D649-D651-D727-D725-D886-D193-D177</f>
        <v>231909182.07137519</v>
      </c>
      <c r="E1761" s="489">
        <f ca="1">SUMIF($C$1:E$1754,$C$15,E$1:E$1754)-E629-E665-E690-E753-E1082-E1102-E1112-E349-E356-E360-E484-E508-E366-E226-E269-E276-E647-E649-E651-E727-E725-E886-E193-E177</f>
        <v>0</v>
      </c>
      <c r="F1761" s="489">
        <f ca="1">SUMIF($C$1:F$1754,$C$15,F$1:F$1754)-F629-F665-F690-F753-F1082-F1102-F1112-F349-F356-F360-F484-F508-F366-F226-F269-F276-F647-F649-F651-F727-F725-F886-F193-F177</f>
        <v>4818146</v>
      </c>
      <c r="G1761" s="489">
        <f ca="1">SUMIF($C$1:G$1754,$C$15,G$1:G$1754)-G629-G665-G690-G753-G1082-G1102-G1112-G349-G356-G360-G484-G508-G366-G226-G269-G276-G647-G649-G651-G727-G725-G886-G193-G177</f>
        <v>642800</v>
      </c>
      <c r="H1761" s="489">
        <f ca="1">SUMIF($C$1:H$1754,$C$15,H$1:H$1754)-H629-H665-H690-H753-H1082-H1102-H1112-H349-H356-H360-H484-H508-H366-H226-H269-H276-H647-H649-H651-H727-H725-H886-H193-H177</f>
        <v>237370128.07137519</v>
      </c>
      <c r="I1761" s="489">
        <f ca="1">SUMIF($C$1:I$1754,$C$15,I$1:I$1754)-I629-I665-I690-I753-I1082-I1102-I1112-I349-I356-I360-I484-I508-I366-I226-I269-I276-I647-I649-I651-I727-I725-I886-I193-I177</f>
        <v>250704505</v>
      </c>
      <c r="J1761" s="489">
        <f t="shared" ca="1" si="156"/>
        <v>18795322.928624809</v>
      </c>
      <c r="K1761" s="869">
        <f t="shared" ca="1" si="157"/>
        <v>8.1046048978087176E-2</v>
      </c>
      <c r="L1761" s="489">
        <f t="shared" ca="1" si="158"/>
        <v>13334376.928624809</v>
      </c>
      <c r="M1761" s="869">
        <f t="shared" ca="1" si="159"/>
        <v>5.6175463344803327E-2</v>
      </c>
    </row>
    <row r="1762" spans="1:14" x14ac:dyDescent="0.2">
      <c r="C1762" s="429" t="s">
        <v>479</v>
      </c>
      <c r="D1762" s="140">
        <f ca="1">SUMIF($C$1:D$1754,$C$1762,D$1:D$1754)</f>
        <v>42222054</v>
      </c>
      <c r="E1762" s="140">
        <f ca="1">SUMIF($C$1:E$1754,$C$1762,E$1:E$1754)</f>
        <v>0</v>
      </c>
      <c r="F1762" s="140">
        <f ca="1">SUMIF($C$1:F$1754,$C$1762,F$1:F$1754)</f>
        <v>2020740</v>
      </c>
      <c r="G1762" s="140">
        <f ca="1">SUMIF($C$1:G$1754,$C$1762,G$1:G$1754)</f>
        <v>897609</v>
      </c>
      <c r="H1762" s="140">
        <f t="shared" ca="1" si="160"/>
        <v>45140403</v>
      </c>
      <c r="I1762" s="140">
        <v>45936610</v>
      </c>
      <c r="J1762" s="140">
        <f t="shared" ca="1" si="156"/>
        <v>3714556</v>
      </c>
      <c r="K1762" s="965">
        <f t="shared" ca="1" si="157"/>
        <v>8.7976676833391387E-2</v>
      </c>
      <c r="L1762" s="140">
        <f t="shared" ca="1" si="158"/>
        <v>796207</v>
      </c>
      <c r="M1762" s="965">
        <f t="shared" ca="1" si="159"/>
        <v>1.7638455731110773E-2</v>
      </c>
    </row>
    <row r="1763" spans="1:14" x14ac:dyDescent="0.2">
      <c r="C1763" s="36"/>
      <c r="D1763" s="120"/>
      <c r="E1763" s="120"/>
      <c r="F1763" s="120"/>
      <c r="G1763" s="120"/>
      <c r="H1763" s="120">
        <f t="shared" si="160"/>
        <v>0</v>
      </c>
      <c r="I1763" s="120">
        <v>0</v>
      </c>
      <c r="J1763" s="120">
        <f t="shared" si="156"/>
        <v>0</v>
      </c>
      <c r="K1763" s="920"/>
      <c r="L1763" s="120">
        <f t="shared" si="158"/>
        <v>0</v>
      </c>
      <c r="M1763" s="920"/>
    </row>
    <row r="1764" spans="1:14" ht="15.75" x14ac:dyDescent="0.25">
      <c r="C1764" s="430" t="s">
        <v>116</v>
      </c>
      <c r="D1764" s="141">
        <f ca="1">SUMIF($C$1:D$1754,$C$1764,D$1:D$1754)+D1743+D1745+D1754+D1758</f>
        <v>675719760</v>
      </c>
      <c r="E1764" s="141">
        <f ca="1">SUMIF($C$1:E$1754,$C$1764,E$1:E$1754)+E1743+E1745+E1754+E1758</f>
        <v>0</v>
      </c>
      <c r="F1764" s="141">
        <f ca="1">SUMIF($C$1:F$1754,$C$1764,F$1:F$1754)+F1743+F1745+F1754+F1758</f>
        <v>18991103</v>
      </c>
      <c r="G1764" s="141">
        <f ca="1">SUMIF($C$1:G$1754,$C$1764,G$1:G$1754)+G1743+G1745+G1754+G1758+G1756</f>
        <v>9485796</v>
      </c>
      <c r="H1764" s="141">
        <f t="shared" ca="1" si="160"/>
        <v>704196659</v>
      </c>
      <c r="I1764" s="141">
        <v>746685426</v>
      </c>
      <c r="J1764" s="141">
        <f t="shared" ca="1" si="156"/>
        <v>70965666</v>
      </c>
      <c r="K1764" s="966">
        <f t="shared" ca="1" si="157"/>
        <v>0.10502233351885402</v>
      </c>
      <c r="L1764" s="141">
        <f t="shared" ca="1" si="158"/>
        <v>42488767</v>
      </c>
      <c r="M1764" s="966">
        <f t="shared" ca="1" si="159"/>
        <v>6.0336507503935773E-2</v>
      </c>
    </row>
    <row r="1765" spans="1:14" s="486" customFormat="1" x14ac:dyDescent="0.2">
      <c r="A1765" s="503"/>
      <c r="B1765" s="503"/>
      <c r="C1765" s="431" t="s">
        <v>117</v>
      </c>
      <c r="D1765" s="500">
        <f ca="1">SUMIF($C$1:D$1754,$C$1765,D$1:D$1754)</f>
        <v>88401958</v>
      </c>
      <c r="E1765" s="500">
        <f ca="1">SUMIF($C$1:E$1754,$C$1765,E$1:E$1754)</f>
        <v>0</v>
      </c>
      <c r="F1765" s="500">
        <f ca="1">SUMIF($C$1:F$1754,$C$1765,F$1:F$1754)</f>
        <v>-6109048</v>
      </c>
      <c r="G1765" s="500">
        <f ca="1">SUMIF($C$1:G$1754,$C$1765,G$1:G$1754)</f>
        <v>-1095134</v>
      </c>
      <c r="H1765" s="500">
        <f t="shared" ca="1" si="160"/>
        <v>81197776</v>
      </c>
      <c r="I1765" s="500">
        <v>88727407</v>
      </c>
      <c r="J1765" s="500">
        <f t="shared" ca="1" si="156"/>
        <v>325449</v>
      </c>
      <c r="K1765" s="924">
        <f t="shared" ca="1" si="157"/>
        <v>3.6814682317330575E-3</v>
      </c>
      <c r="L1765" s="500">
        <f t="shared" ca="1" si="158"/>
        <v>7529631</v>
      </c>
      <c r="M1765" s="924">
        <f t="shared" ca="1" si="159"/>
        <v>9.2731985664237904E-2</v>
      </c>
    </row>
    <row r="1766" spans="1:14" x14ac:dyDescent="0.2">
      <c r="C1766" s="39" t="s">
        <v>105</v>
      </c>
      <c r="D1766" s="500">
        <f ca="1">SUMIF($C$1:D$1754,$C$1766,D$1:D$1754)</f>
        <v>7494963</v>
      </c>
      <c r="E1766" s="500">
        <f ca="1">SUMIF($C$1:E$1754,$C$1766,E$1:E$1754)</f>
        <v>0</v>
      </c>
      <c r="F1766" s="500">
        <f ca="1">SUMIF($C$1:F$1754,$C$1766,F$1:F$1754)</f>
        <v>-1095709</v>
      </c>
      <c r="G1766" s="500">
        <f ca="1">SUMIF($C$1:G$1754,$C$1766,G$1:G$1754)</f>
        <v>0</v>
      </c>
      <c r="H1766" s="500">
        <f t="shared" ca="1" si="160"/>
        <v>6399254</v>
      </c>
      <c r="I1766" s="500">
        <v>4287923</v>
      </c>
      <c r="J1766" s="500">
        <f t="shared" ca="1" si="156"/>
        <v>-3207040</v>
      </c>
      <c r="K1766" s="924">
        <f t="shared" ca="1" si="157"/>
        <v>-0.42789270607473312</v>
      </c>
      <c r="L1766" s="500">
        <f t="shared" ca="1" si="158"/>
        <v>-2111331</v>
      </c>
      <c r="M1766" s="924">
        <f t="shared" ca="1" si="159"/>
        <v>-0.32993392667332788</v>
      </c>
    </row>
    <row r="1767" spans="1:14" x14ac:dyDescent="0.2">
      <c r="C1767" s="95" t="s">
        <v>676</v>
      </c>
      <c r="D1767" s="491">
        <f ca="1">SUMIF($C$1:D$1754,$C$1767,D$1:D$1754)</f>
        <v>147334</v>
      </c>
      <c r="E1767" s="491">
        <f ca="1">SUMIF($C$1:E$1754,$C$1767,E$1:E$1754)</f>
        <v>0</v>
      </c>
      <c r="F1767" s="491">
        <f ca="1">SUMIF($C$1:F$1754,$C$1767,F$1:F$1754)</f>
        <v>0</v>
      </c>
      <c r="G1767" s="491">
        <f ca="1">SUMIF($C$1:G$1754,$C$1767,G$1:G$1754)</f>
        <v>0</v>
      </c>
      <c r="H1767" s="491">
        <f t="shared" ca="1" si="160"/>
        <v>147334</v>
      </c>
      <c r="I1767" s="491">
        <v>9223</v>
      </c>
      <c r="J1767" s="491">
        <f t="shared" ca="1" si="156"/>
        <v>-138111</v>
      </c>
      <c r="K1767" s="866">
        <f t="shared" ca="1" si="157"/>
        <v>-0.9374007357432772</v>
      </c>
      <c r="L1767" s="491">
        <f t="shared" ca="1" si="158"/>
        <v>-138111</v>
      </c>
      <c r="M1767" s="866">
        <f t="shared" ca="1" si="159"/>
        <v>-0.9374007357432772</v>
      </c>
    </row>
    <row r="1768" spans="1:14" x14ac:dyDescent="0.2">
      <c r="C1768" s="39" t="s">
        <v>0</v>
      </c>
      <c r="D1768" s="500">
        <f ca="1">SUMIF($C$1:D$1754,$C$1768,D$1:D$1754)+D1758</f>
        <v>126920774</v>
      </c>
      <c r="E1768" s="500">
        <f ca="1">SUMIF($C$1:E$1754,$C$1768,E$1:E$1754)+E1758</f>
        <v>0</v>
      </c>
      <c r="F1768" s="500">
        <f ca="1">SUMIF($C$1:F$1754,$C$1768,F$1:F$1754)+F1758</f>
        <v>2806304</v>
      </c>
      <c r="G1768" s="500">
        <f ca="1">SUMIF($C$1:G$1754,$C$1768,G$1:G$1754)+G1758</f>
        <v>594501</v>
      </c>
      <c r="H1768" s="500">
        <f t="shared" ca="1" si="160"/>
        <v>130321579</v>
      </c>
      <c r="I1768" s="500">
        <v>138017878</v>
      </c>
      <c r="J1768" s="500">
        <f t="shared" ca="1" si="156"/>
        <v>11097104</v>
      </c>
      <c r="K1768" s="924">
        <f t="shared" ca="1" si="157"/>
        <v>8.743331489610992E-2</v>
      </c>
      <c r="L1768" s="500">
        <f t="shared" ca="1" si="158"/>
        <v>7696299</v>
      </c>
      <c r="M1768" s="924">
        <f t="shared" ca="1" si="159"/>
        <v>5.9056213553090854E-2</v>
      </c>
    </row>
    <row r="1769" spans="1:14" x14ac:dyDescent="0.2">
      <c r="C1769" s="39" t="s">
        <v>1022</v>
      </c>
      <c r="D1769" s="500">
        <f ca="1">SUMIF($C$1:D$1754,$C$1769,D$1:D$1754)</f>
        <v>0</v>
      </c>
      <c r="E1769" s="500">
        <f ca="1">SUMIF($C$1:E$1754,$C$1769,E$1:E$1754)</f>
        <v>0</v>
      </c>
      <c r="F1769" s="500">
        <f ca="1">SUMIF($C$1:F$1754,$C$1769,F$1:F$1754)</f>
        <v>0</v>
      </c>
      <c r="G1769" s="500">
        <f ca="1">SUMIF($C$1:G$1754,$C$1769,G$1:G$1754)</f>
        <v>0</v>
      </c>
      <c r="H1769" s="500">
        <f t="shared" ca="1" si="160"/>
        <v>0</v>
      </c>
      <c r="I1769" s="500">
        <v>49800</v>
      </c>
      <c r="J1769" s="500">
        <f t="shared" ca="1" si="156"/>
        <v>49800</v>
      </c>
      <c r="K1769" s="924"/>
      <c r="L1769" s="500">
        <f t="shared" ca="1" si="158"/>
        <v>49800</v>
      </c>
      <c r="M1769" s="924"/>
    </row>
    <row r="1770" spans="1:14" x14ac:dyDescent="0.2">
      <c r="C1770" s="39" t="s">
        <v>118</v>
      </c>
      <c r="D1770" s="500">
        <f ca="1">SUMIF($C$1:D$1754,$C$1770,D$1:D$1754)+D1743+D1745+D1754</f>
        <v>452754731</v>
      </c>
      <c r="E1770" s="500">
        <f ca="1">SUMIF($C$1:E$1754,$C$1770,E$1:E$1754)+E1743+E1745+E1754</f>
        <v>0</v>
      </c>
      <c r="F1770" s="500">
        <f ca="1">SUMIF($C$1:F$1754,$C$1770,F$1:F$1754)+F1743+F1745+F1754</f>
        <v>23389556</v>
      </c>
      <c r="G1770" s="500">
        <f ca="1">SUMIF($C$1:G$1754,$C$1770,G$1:G$1754)+G1743+G1745+G1754+G1756</f>
        <v>9986429</v>
      </c>
      <c r="H1770" s="500">
        <f t="shared" ca="1" si="160"/>
        <v>486130716</v>
      </c>
      <c r="I1770" s="500">
        <v>515593195</v>
      </c>
      <c r="J1770" s="500">
        <f t="shared" ca="1" si="156"/>
        <v>62838464</v>
      </c>
      <c r="K1770" s="924">
        <f t="shared" ca="1" si="157"/>
        <v>0.13879140227029454</v>
      </c>
      <c r="L1770" s="500">
        <f t="shared" ca="1" si="158"/>
        <v>29462479</v>
      </c>
      <c r="M1770" s="924">
        <f t="shared" ca="1" si="159"/>
        <v>6.0606083981741242E-2</v>
      </c>
    </row>
    <row r="1771" spans="1:14" x14ac:dyDescent="0.2">
      <c r="C1771" s="511"/>
      <c r="D1771" s="61">
        <f ca="1">D1760-D1764</f>
        <v>0</v>
      </c>
      <c r="E1771" s="61">
        <f t="shared" ref="E1771:F1771" ca="1" si="161">E1760-E1764</f>
        <v>0</v>
      </c>
      <c r="F1771" s="61">
        <f t="shared" ca="1" si="161"/>
        <v>0</v>
      </c>
      <c r="G1771" s="61">
        <f t="shared" ref="G1771" ca="1" si="162">G1760-G1764</f>
        <v>0</v>
      </c>
      <c r="H1771" s="61">
        <f t="shared" ca="1" si="160"/>
        <v>0</v>
      </c>
      <c r="I1771" s="61">
        <v>0</v>
      </c>
      <c r="J1771" s="61">
        <f t="shared" ca="1" si="156"/>
        <v>0</v>
      </c>
      <c r="K1771" s="967"/>
      <c r="L1771" s="61">
        <f t="shared" ca="1" si="158"/>
        <v>0</v>
      </c>
      <c r="M1771" s="967"/>
    </row>
    <row r="1772" spans="1:14" x14ac:dyDescent="0.2">
      <c r="C1772" s="139"/>
      <c r="D1772" s="61">
        <f t="shared" ref="D1772:F1772" ca="1" si="163">D1764-SUM(D1765:D1770)</f>
        <v>0</v>
      </c>
      <c r="E1772" s="61">
        <f t="shared" ca="1" si="163"/>
        <v>0</v>
      </c>
      <c r="F1772" s="61">
        <f t="shared" ca="1" si="163"/>
        <v>0</v>
      </c>
      <c r="G1772" s="61">
        <f t="shared" ref="G1772" ca="1" si="164">G1764-SUM(G1765:G1770)</f>
        <v>0</v>
      </c>
      <c r="H1772" s="61">
        <f t="shared" ca="1" si="160"/>
        <v>0</v>
      </c>
      <c r="I1772" s="61">
        <v>0</v>
      </c>
      <c r="J1772" s="61">
        <f t="shared" ca="1" si="156"/>
        <v>0</v>
      </c>
      <c r="K1772" s="967"/>
      <c r="L1772" s="61">
        <f t="shared" ca="1" si="158"/>
        <v>0</v>
      </c>
      <c r="M1772" s="967"/>
    </row>
    <row r="1773" spans="1:14" s="486" customFormat="1" x14ac:dyDescent="0.2">
      <c r="A1773" s="503"/>
      <c r="B1773" s="503"/>
      <c r="C1773" s="139"/>
      <c r="D1773" s="61"/>
      <c r="E1773" s="61"/>
      <c r="F1773" s="61"/>
      <c r="G1773" s="61"/>
      <c r="H1773" s="61"/>
      <c r="I1773" s="61"/>
      <c r="J1773" s="61"/>
      <c r="K1773" s="967"/>
      <c r="L1773" s="61"/>
      <c r="M1773" s="967"/>
    </row>
    <row r="1774" spans="1:14" s="486" customFormat="1" x14ac:dyDescent="0.2">
      <c r="A1774" s="503"/>
      <c r="B1774" s="503"/>
      <c r="C1774" s="139"/>
      <c r="D1774" s="1000">
        <v>2021</v>
      </c>
      <c r="E1774" s="1001"/>
      <c r="F1774" s="1001"/>
      <c r="G1774" s="1001"/>
      <c r="H1774" s="1002"/>
      <c r="I1774" s="807">
        <v>2022</v>
      </c>
      <c r="J1774" s="998" t="s">
        <v>1075</v>
      </c>
      <c r="K1774" s="999"/>
      <c r="L1774" s="996" t="s">
        <v>1076</v>
      </c>
      <c r="M1774" s="997"/>
      <c r="N1774" s="807">
        <v>2022</v>
      </c>
    </row>
    <row r="1775" spans="1:14" s="486" customFormat="1" ht="25.5" x14ac:dyDescent="0.2">
      <c r="A1775" s="503"/>
      <c r="B1775" s="503"/>
      <c r="C1775" s="139"/>
      <c r="D1775" s="813" t="s">
        <v>859</v>
      </c>
      <c r="E1775" s="813" t="s">
        <v>1077</v>
      </c>
      <c r="F1775" s="813" t="s">
        <v>984</v>
      </c>
      <c r="G1775" s="813" t="s">
        <v>1066</v>
      </c>
      <c r="H1775" s="813" t="s">
        <v>860</v>
      </c>
      <c r="I1775" s="808" t="s">
        <v>1074</v>
      </c>
      <c r="J1775" s="809" t="s">
        <v>53</v>
      </c>
      <c r="K1775" s="810" t="s">
        <v>981</v>
      </c>
      <c r="L1775" s="811" t="s">
        <v>53</v>
      </c>
      <c r="M1775" s="812" t="s">
        <v>981</v>
      </c>
      <c r="N1775" s="808" t="s">
        <v>1147</v>
      </c>
    </row>
    <row r="1776" spans="1:14" s="486" customFormat="1" x14ac:dyDescent="0.2">
      <c r="A1776" s="503"/>
      <c r="B1776" s="503"/>
      <c r="C1776" s="139"/>
      <c r="D1776" s="61"/>
      <c r="E1776" s="61"/>
      <c r="F1776" s="61"/>
      <c r="G1776" s="61"/>
      <c r="H1776" s="61"/>
      <c r="I1776" s="61"/>
      <c r="J1776" s="61"/>
      <c r="K1776" s="967"/>
      <c r="L1776" s="61"/>
      <c r="M1776" s="967"/>
    </row>
    <row r="1777" spans="1:14" s="486" customFormat="1" x14ac:dyDescent="0.2">
      <c r="A1777" s="503"/>
      <c r="B1777" s="503"/>
      <c r="C1777" s="139"/>
      <c r="D1777" s="61"/>
      <c r="E1777" s="61"/>
      <c r="F1777" s="61"/>
      <c r="G1777" s="61"/>
      <c r="H1777" s="61"/>
      <c r="I1777" s="61"/>
      <c r="J1777" s="61"/>
      <c r="K1777" s="967"/>
      <c r="L1777" s="61"/>
      <c r="M1777" s="967"/>
    </row>
    <row r="1778" spans="1:14" x14ac:dyDescent="0.2">
      <c r="C1778" s="4" t="s">
        <v>885</v>
      </c>
      <c r="D1778" s="498">
        <f ca="1">SUMIF($A$1:D$1757,$C1778,D$1:D$1758)</f>
        <v>1795495</v>
      </c>
      <c r="E1778" s="498">
        <f ca="1">SUMIF($A$1:E$1757,$C1778,E$1:E$1758)</f>
        <v>0</v>
      </c>
      <c r="F1778" s="498">
        <f ca="1">SUMIF($A$1:F$1757,$C1778,F$1:F$1758)</f>
        <v>0</v>
      </c>
      <c r="G1778" s="498">
        <f ca="1">SUMIF($A$1:G$1757,$C1778,G$1:G$1758)</f>
        <v>137004</v>
      </c>
      <c r="H1778" s="498">
        <f t="shared" ca="1" si="160"/>
        <v>1932499</v>
      </c>
      <c r="I1778" s="498">
        <v>2057586</v>
      </c>
      <c r="J1778" s="498">
        <f t="shared" ca="1" si="156"/>
        <v>262091</v>
      </c>
      <c r="K1778" s="524">
        <f t="shared" ca="1" si="157"/>
        <v>0.14597144520034866</v>
      </c>
      <c r="L1778" s="498">
        <f t="shared" ca="1" si="158"/>
        <v>125087</v>
      </c>
      <c r="M1778" s="524">
        <f t="shared" ca="1" si="159"/>
        <v>6.4728105939511477E-2</v>
      </c>
      <c r="N1778" s="524">
        <f>I1778/$I$1807</f>
        <v>2.7556263030638017E-3</v>
      </c>
    </row>
    <row r="1779" spans="1:14" x14ac:dyDescent="0.2">
      <c r="C1779" s="4" t="s">
        <v>503</v>
      </c>
      <c r="D1779" s="498">
        <f ca="1">SUMIF($A$1:D$1757,$C1779,D$1:D$1758)</f>
        <v>51571345</v>
      </c>
      <c r="E1779" s="498">
        <f ca="1">SUMIF($A$1:E$1757,$C1779,E$1:E$1758)</f>
        <v>292810</v>
      </c>
      <c r="F1779" s="498">
        <f ca="1">SUMIF($A$1:F$1757,$C1779,F$1:F$1758)</f>
        <v>1368514</v>
      </c>
      <c r="G1779" s="498">
        <f ca="1">SUMIF($A$1:G$1757,$C1779,G$1:G$1758)</f>
        <v>-311176</v>
      </c>
      <c r="H1779" s="498">
        <f t="shared" ca="1" si="160"/>
        <v>52921493</v>
      </c>
      <c r="I1779" s="498">
        <v>55959564</v>
      </c>
      <c r="J1779" s="498">
        <f t="shared" ca="1" si="156"/>
        <v>4388219</v>
      </c>
      <c r="K1779" s="524">
        <f t="shared" ca="1" si="157"/>
        <v>8.5090257002217021E-2</v>
      </c>
      <c r="L1779" s="498">
        <f t="shared" ca="1" si="158"/>
        <v>3038071</v>
      </c>
      <c r="M1779" s="524">
        <f t="shared" ca="1" si="159"/>
        <v>5.7407129462504015E-2</v>
      </c>
      <c r="N1779" s="524">
        <f t="shared" ref="N1779:N1807" si="165">I1779/$I$1807</f>
        <v>7.4943961742732615E-2</v>
      </c>
    </row>
    <row r="1780" spans="1:14" x14ac:dyDescent="0.2">
      <c r="C1780" s="4" t="s">
        <v>494</v>
      </c>
      <c r="D1780" s="498">
        <f ca="1">SUMIF($A$1:D$1757,$C1780,D$1:D$1758)</f>
        <v>277332577</v>
      </c>
      <c r="E1780" s="498">
        <f ca="1">SUMIF($A$1:E$1757,$C1780,E$1:E$1758)</f>
        <v>0</v>
      </c>
      <c r="F1780" s="498">
        <f ca="1">SUMIF($A$1:F$1757,$C1780,F$1:F$1758)</f>
        <v>1217910</v>
      </c>
      <c r="G1780" s="498">
        <f ca="1">SUMIF($A$1:G$1757,$C1780,G$1:G$1758)</f>
        <v>-340559</v>
      </c>
      <c r="H1780" s="498">
        <f t="shared" ca="1" si="160"/>
        <v>278209928</v>
      </c>
      <c r="I1780" s="498">
        <v>291995735</v>
      </c>
      <c r="J1780" s="498">
        <f t="shared" ca="1" si="156"/>
        <v>14663158</v>
      </c>
      <c r="K1780" s="524">
        <f t="shared" ca="1" si="157"/>
        <v>5.2872108133189127E-2</v>
      </c>
      <c r="L1780" s="498">
        <f t="shared" ca="1" si="158"/>
        <v>13785807</v>
      </c>
      <c r="M1780" s="524">
        <f t="shared" ca="1" si="159"/>
        <v>4.9551815419038532E-2</v>
      </c>
      <c r="N1780" s="524">
        <f t="shared" si="165"/>
        <v>0.39105589158773807</v>
      </c>
    </row>
    <row r="1781" spans="1:14" x14ac:dyDescent="0.2">
      <c r="C1781" s="4" t="s">
        <v>886</v>
      </c>
      <c r="D1781" s="498">
        <f ca="1">SUMIF($A$1:D$1757,$C1781,D$1:D$1758)</f>
        <v>27988498</v>
      </c>
      <c r="E1781" s="498">
        <f ca="1">SUMIF($A$1:E$1757,$C1781,E$1:E$1758)</f>
        <v>0</v>
      </c>
      <c r="F1781" s="498">
        <f ca="1">SUMIF($A$1:F$1757,$C1781,F$1:F$1758)</f>
        <v>116327</v>
      </c>
      <c r="G1781" s="498">
        <f ca="1">SUMIF($A$1:G$1757,$C1781,G$1:G$1758)</f>
        <v>-1039810</v>
      </c>
      <c r="H1781" s="498">
        <f t="shared" ca="1" si="160"/>
        <v>27065015</v>
      </c>
      <c r="I1781" s="498">
        <v>29433491</v>
      </c>
      <c r="J1781" s="498">
        <f t="shared" ca="1" si="156"/>
        <v>1444993</v>
      </c>
      <c r="K1781" s="524">
        <f t="shared" ca="1" si="157"/>
        <v>5.1628100943466135E-2</v>
      </c>
      <c r="L1781" s="498">
        <f t="shared" ca="1" si="158"/>
        <v>2368476</v>
      </c>
      <c r="M1781" s="524">
        <f t="shared" ca="1" si="159"/>
        <v>8.7510611023123394E-2</v>
      </c>
      <c r="N1781" s="524">
        <f t="shared" si="165"/>
        <v>3.9418863654103249E-2</v>
      </c>
    </row>
    <row r="1782" spans="1:14" x14ac:dyDescent="0.2">
      <c r="C1782" s="4" t="s">
        <v>850</v>
      </c>
      <c r="D1782" s="498">
        <f ca="1">SUMIF($A$1:D$1757,$C1782,D$1:D$1758)</f>
        <v>18244680</v>
      </c>
      <c r="E1782" s="498">
        <f ca="1">SUMIF($A$1:E$1757,$C1782,E$1:E$1758)</f>
        <v>0</v>
      </c>
      <c r="F1782" s="498">
        <f ca="1">SUMIF($A$1:F$1757,$C1782,F$1:F$1758)</f>
        <v>697567</v>
      </c>
      <c r="G1782" s="498">
        <f ca="1">SUMIF($A$1:G$1757,$C1782,G$1:G$1758)</f>
        <v>104943</v>
      </c>
      <c r="H1782" s="498">
        <f t="shared" ca="1" si="160"/>
        <v>19047190</v>
      </c>
      <c r="I1782" s="498">
        <v>19097356</v>
      </c>
      <c r="J1782" s="498">
        <f t="shared" ca="1" si="156"/>
        <v>852676</v>
      </c>
      <c r="K1782" s="524">
        <f t="shared" ca="1" si="157"/>
        <v>4.673559634918234E-2</v>
      </c>
      <c r="L1782" s="498">
        <f t="shared" ca="1" si="158"/>
        <v>50166</v>
      </c>
      <c r="M1782" s="524">
        <f t="shared" ca="1" si="159"/>
        <v>2.6337743257666877E-3</v>
      </c>
      <c r="N1782" s="524">
        <f t="shared" si="165"/>
        <v>2.5576173492905432E-2</v>
      </c>
    </row>
    <row r="1783" spans="1:14" x14ac:dyDescent="0.2">
      <c r="C1783" s="4" t="s">
        <v>646</v>
      </c>
      <c r="D1783" s="498">
        <f ca="1">SUMIF($A$1:D$1757,$C1783,D$1:D$1758)</f>
        <v>2575001</v>
      </c>
      <c r="E1783" s="498">
        <f ca="1">SUMIF($A$1:E$1757,$C1783,E$1:E$1758)</f>
        <v>0</v>
      </c>
      <c r="F1783" s="498">
        <f ca="1">SUMIF($A$1:F$1757,$C1783,F$1:F$1758)</f>
        <v>14130</v>
      </c>
      <c r="G1783" s="498">
        <f ca="1">SUMIF($A$1:G$1757,$C1783,G$1:G$1758)</f>
        <v>4135</v>
      </c>
      <c r="H1783" s="498">
        <f t="shared" ca="1" si="160"/>
        <v>2593266</v>
      </c>
      <c r="I1783" s="498">
        <v>2479667</v>
      </c>
      <c r="J1783" s="498">
        <f t="shared" ca="1" si="156"/>
        <v>-95334</v>
      </c>
      <c r="K1783" s="524">
        <f t="shared" ca="1" si="157"/>
        <v>-3.7022898243534663E-2</v>
      </c>
      <c r="L1783" s="498">
        <f t="shared" ca="1" si="158"/>
        <v>-113599</v>
      </c>
      <c r="M1783" s="524">
        <f t="shared" ca="1" si="159"/>
        <v>-4.3805379008555238E-2</v>
      </c>
      <c r="N1783" s="524">
        <f t="shared" si="165"/>
        <v>3.3208991546595421E-3</v>
      </c>
    </row>
    <row r="1784" spans="1:14" x14ac:dyDescent="0.2">
      <c r="C1784" s="4" t="s">
        <v>227</v>
      </c>
      <c r="D1784" s="498">
        <f ca="1">SUMIF($A$1:D$1757,$C1784,D$1:D$1758)</f>
        <v>57822539</v>
      </c>
      <c r="E1784" s="498">
        <f ca="1">SUMIF($A$1:E$1757,$C1784,E$1:E$1758)</f>
        <v>-292810</v>
      </c>
      <c r="F1784" s="498">
        <f ca="1">SUMIF($A$1:F$1757,$C1784,F$1:F$1758)</f>
        <v>3436763</v>
      </c>
      <c r="G1784" s="498">
        <f ca="1">SUMIF($A$1:G$1757,$C1784,G$1:G$1758)</f>
        <v>2282206</v>
      </c>
      <c r="H1784" s="498">
        <f t="shared" ca="1" si="160"/>
        <v>63248698</v>
      </c>
      <c r="I1784" s="498">
        <v>66317251</v>
      </c>
      <c r="J1784" s="498">
        <f t="shared" ca="1" si="156"/>
        <v>8494712</v>
      </c>
      <c r="K1784" s="524">
        <f t="shared" ca="1" si="157"/>
        <v>0.14691004834637234</v>
      </c>
      <c r="L1784" s="498">
        <f t="shared" ca="1" si="158"/>
        <v>3068553</v>
      </c>
      <c r="M1784" s="524">
        <f t="shared" ca="1" si="159"/>
        <v>4.8515670630880026E-2</v>
      </c>
      <c r="N1784" s="524">
        <f t="shared" si="165"/>
        <v>8.8815515464473527E-2</v>
      </c>
    </row>
    <row r="1785" spans="1:14" x14ac:dyDescent="0.2">
      <c r="C1785" s="4" t="s">
        <v>240</v>
      </c>
      <c r="D1785" s="498">
        <f ca="1">SUMIF($A$1:D$1757,$C1785,D$1:D$1758)</f>
        <v>14733583</v>
      </c>
      <c r="E1785" s="498">
        <f ca="1">SUMIF($A$1:E$1757,$C1785,E$1:E$1758)</f>
        <v>0</v>
      </c>
      <c r="F1785" s="498">
        <f ca="1">SUMIF($A$1:F$1757,$C1785,F$1:F$1758)</f>
        <v>3142335</v>
      </c>
      <c r="G1785" s="498">
        <f ca="1">SUMIF($A$1:G$1757,$C1785,G$1:G$1758)</f>
        <v>1550630</v>
      </c>
      <c r="H1785" s="498">
        <f t="shared" ca="1" si="160"/>
        <v>19426548</v>
      </c>
      <c r="I1785" s="498">
        <v>18031433</v>
      </c>
      <c r="J1785" s="498">
        <f t="shared" ca="1" si="156"/>
        <v>3297850</v>
      </c>
      <c r="K1785" s="524">
        <f t="shared" ca="1" si="157"/>
        <v>0.22383217985740467</v>
      </c>
      <c r="L1785" s="498">
        <f t="shared" ca="1" si="158"/>
        <v>-1395115</v>
      </c>
      <c r="M1785" s="524">
        <f t="shared" ca="1" si="159"/>
        <v>-7.1814869013269889E-2</v>
      </c>
      <c r="N1785" s="524">
        <f t="shared" si="165"/>
        <v>2.4148633912134239E-2</v>
      </c>
    </row>
    <row r="1786" spans="1:14" x14ac:dyDescent="0.2">
      <c r="C1786" s="4" t="s">
        <v>496</v>
      </c>
      <c r="D1786" s="498">
        <f ca="1">SUMIF($A$1:D$1757,$C1786,D$1:D$1758)</f>
        <v>25883077</v>
      </c>
      <c r="E1786" s="498">
        <f ca="1">SUMIF($A$1:E$1757,$C1786,E$1:E$1758)</f>
        <v>0</v>
      </c>
      <c r="F1786" s="498">
        <f ca="1">SUMIF($A$1:F$1757,$C1786,F$1:F$1758)</f>
        <v>1845678</v>
      </c>
      <c r="G1786" s="498">
        <f ca="1">SUMIF($A$1:G$1757,$C1786,G$1:G$1758)</f>
        <v>106945</v>
      </c>
      <c r="H1786" s="498">
        <f t="shared" ca="1" si="160"/>
        <v>27835700</v>
      </c>
      <c r="I1786" s="498">
        <v>28750898</v>
      </c>
      <c r="J1786" s="498">
        <f t="shared" ca="1" si="156"/>
        <v>2867821</v>
      </c>
      <c r="K1786" s="524">
        <f t="shared" ca="1" si="157"/>
        <v>0.1107990753958658</v>
      </c>
      <c r="L1786" s="498">
        <f t="shared" ca="1" si="158"/>
        <v>915198</v>
      </c>
      <c r="M1786" s="524">
        <f t="shared" ca="1" si="159"/>
        <v>3.2878569606656201E-2</v>
      </c>
      <c r="N1786" s="524">
        <f t="shared" si="165"/>
        <v>3.850469956808826E-2</v>
      </c>
    </row>
    <row r="1787" spans="1:14" x14ac:dyDescent="0.2">
      <c r="C1787" s="4" t="s">
        <v>887</v>
      </c>
      <c r="D1787" s="498">
        <f ca="1">SUMIF($A$1:D$1757,$C1787,D$1:D$1758)</f>
        <v>2247195</v>
      </c>
      <c r="E1787" s="498">
        <f ca="1">SUMIF($A$1:E$1757,$C1787,E$1:E$1758)</f>
        <v>0</v>
      </c>
      <c r="F1787" s="498">
        <f ca="1">SUMIF($A$1:F$1757,$C1787,F$1:F$1758)</f>
        <v>-30000</v>
      </c>
      <c r="G1787" s="498">
        <f ca="1">SUMIF($A$1:G$1757,$C1787,G$1:G$1758)</f>
        <v>-1850</v>
      </c>
      <c r="H1787" s="498">
        <f t="shared" ca="1" si="160"/>
        <v>2215345</v>
      </c>
      <c r="I1787" s="498">
        <v>2403430</v>
      </c>
      <c r="J1787" s="498">
        <f t="shared" ca="1" si="156"/>
        <v>156235</v>
      </c>
      <c r="K1787" s="524">
        <f t="shared" ca="1" si="157"/>
        <v>6.9524451594098424E-2</v>
      </c>
      <c r="L1787" s="498">
        <f t="shared" ca="1" si="158"/>
        <v>188085</v>
      </c>
      <c r="M1787" s="524">
        <f t="shared" ca="1" si="159"/>
        <v>8.4900997361584768E-2</v>
      </c>
      <c r="N1787" s="524">
        <f t="shared" si="165"/>
        <v>3.218798594844946E-3</v>
      </c>
    </row>
    <row r="1788" spans="1:14" x14ac:dyDescent="0.2">
      <c r="C1788" s="4" t="s">
        <v>497</v>
      </c>
      <c r="D1788" s="498">
        <f ca="1">SUMIF($A$1:D$1757,$C1788,D$1:D$1758)</f>
        <v>95329669</v>
      </c>
      <c r="E1788" s="498">
        <f ca="1">SUMIF($A$1:E$1757,$C1788,E$1:E$1758)</f>
        <v>0</v>
      </c>
      <c r="F1788" s="498">
        <f ca="1">SUMIF($A$1:F$1757,$C1788,F$1:F$1758)</f>
        <v>3078231</v>
      </c>
      <c r="G1788" s="498">
        <f ca="1">SUMIF($A$1:G$1757,$C1788,G$1:G$1758)</f>
        <v>-5407</v>
      </c>
      <c r="H1788" s="498">
        <f t="shared" ca="1" si="160"/>
        <v>98402493</v>
      </c>
      <c r="I1788" s="498">
        <v>113345206</v>
      </c>
      <c r="J1788" s="498">
        <f t="shared" ref="J1788:J1851" ca="1" si="166">I1788-D1788</f>
        <v>18015537</v>
      </c>
      <c r="K1788" s="524">
        <f t="shared" ref="K1788:K1850" ca="1" si="167">J1788/D1788</f>
        <v>0.18898142822671501</v>
      </c>
      <c r="L1788" s="498">
        <f t="shared" ref="L1788:L1851" ca="1" si="168">I1788-H1788</f>
        <v>14942713</v>
      </c>
      <c r="M1788" s="524">
        <f t="shared" ref="M1788:M1850" ca="1" si="169">L1788/H1788</f>
        <v>0.15185299217978146</v>
      </c>
      <c r="N1788" s="524">
        <f t="shared" si="165"/>
        <v>0.15179780139434515</v>
      </c>
    </row>
    <row r="1789" spans="1:14" x14ac:dyDescent="0.2">
      <c r="C1789" s="4" t="s">
        <v>501</v>
      </c>
      <c r="D1789" s="498">
        <f ca="1">SUMIF($A$1:D$1757,$C1789,D$1:D$1758)</f>
        <v>35825002</v>
      </c>
      <c r="E1789" s="498">
        <f ca="1">SUMIF($A$1:E$1757,$C1789,E$1:E$1758)</f>
        <v>0</v>
      </c>
      <c r="F1789" s="498">
        <f ca="1">SUMIF($A$1:F$1757,$C1789,F$1:F$1758)</f>
        <v>2800739</v>
      </c>
      <c r="G1789" s="498">
        <f ca="1">SUMIF($A$1:G$1757,$C1789,G$1:G$1758)</f>
        <v>4722319</v>
      </c>
      <c r="H1789" s="498">
        <f t="shared" ca="1" si="160"/>
        <v>43348060</v>
      </c>
      <c r="I1789" s="498">
        <v>39509060</v>
      </c>
      <c r="J1789" s="498">
        <f t="shared" ca="1" si="166"/>
        <v>3684058</v>
      </c>
      <c r="K1789" s="524">
        <f t="shared" ca="1" si="167"/>
        <v>0.1028348302674205</v>
      </c>
      <c r="L1789" s="498">
        <f t="shared" ca="1" si="168"/>
        <v>-3839000</v>
      </c>
      <c r="M1789" s="524">
        <f t="shared" ca="1" si="169"/>
        <v>-8.8562210165806732E-2</v>
      </c>
      <c r="N1789" s="524">
        <f t="shared" si="165"/>
        <v>5.2912590261270209E-2</v>
      </c>
    </row>
    <row r="1790" spans="1:14" x14ac:dyDescent="0.2">
      <c r="C1790" s="4" t="s">
        <v>499</v>
      </c>
      <c r="D1790" s="498">
        <f ca="1">SUMIF($A$1:D$1757,$C1790,D$1:D$1758)</f>
        <v>17256366</v>
      </c>
      <c r="E1790" s="498">
        <f ca="1">SUMIF($A$1:E$1757,$C1790,E$1:E$1758)</f>
        <v>0</v>
      </c>
      <c r="F1790" s="498">
        <f ca="1">SUMIF($A$1:F$1757,$C1790,F$1:F$1758)</f>
        <v>853324</v>
      </c>
      <c r="G1790" s="498">
        <f ca="1">SUMIF($A$1:G$1757,$C1790,G$1:G$1758)</f>
        <v>-1134</v>
      </c>
      <c r="H1790" s="498">
        <f t="shared" ca="1" si="160"/>
        <v>18108556</v>
      </c>
      <c r="I1790" s="498">
        <v>19707051</v>
      </c>
      <c r="J1790" s="498">
        <f t="shared" ca="1" si="166"/>
        <v>2450685</v>
      </c>
      <c r="K1790" s="524">
        <f t="shared" ca="1" si="167"/>
        <v>0.14201628546821504</v>
      </c>
      <c r="L1790" s="498">
        <f t="shared" ca="1" si="168"/>
        <v>1598495</v>
      </c>
      <c r="M1790" s="524">
        <f t="shared" ca="1" si="169"/>
        <v>8.8272913643694176E-2</v>
      </c>
      <c r="N1790" s="524">
        <f t="shared" si="165"/>
        <v>2.6392708781756778E-2</v>
      </c>
    </row>
    <row r="1791" spans="1:14" x14ac:dyDescent="0.2">
      <c r="C1791" s="4" t="s">
        <v>498</v>
      </c>
      <c r="D1791" s="498">
        <f ca="1">SUMIF($A$1:D$1757,$C1791,D$1:D$1758)</f>
        <v>5441014</v>
      </c>
      <c r="E1791" s="498">
        <f ca="1">SUMIF($A$1:E$1757,$C1791,E$1:E$1758)</f>
        <v>0</v>
      </c>
      <c r="F1791" s="498">
        <f ca="1">SUMIF($A$1:F$1757,$C1791,F$1:F$1758)</f>
        <v>0</v>
      </c>
      <c r="G1791" s="498">
        <f ca="1">SUMIF($A$1:G$1757,$C1791,G$1:G$1758)</f>
        <v>1075858</v>
      </c>
      <c r="H1791" s="498">
        <f t="shared" ca="1" si="160"/>
        <v>6516872</v>
      </c>
      <c r="I1791" s="498">
        <v>5760120</v>
      </c>
      <c r="J1791" s="498">
        <f t="shared" ca="1" si="166"/>
        <v>319106</v>
      </c>
      <c r="K1791" s="524">
        <f t="shared" ca="1" si="167"/>
        <v>5.8648259313429443E-2</v>
      </c>
      <c r="L1791" s="498">
        <f t="shared" ca="1" si="168"/>
        <v>-756752</v>
      </c>
      <c r="M1791" s="524">
        <f t="shared" ca="1" si="169"/>
        <v>-0.11612196771702743</v>
      </c>
      <c r="N1791" s="524">
        <f t="shared" si="165"/>
        <v>7.7142526148622059E-3</v>
      </c>
    </row>
    <row r="1792" spans="1:14" x14ac:dyDescent="0.2">
      <c r="C1792" s="4" t="s">
        <v>888</v>
      </c>
      <c r="D1792" s="498">
        <f ca="1">SUMIF($A$1:D$1757,$C1792,D$1:D$1758)</f>
        <v>3254834</v>
      </c>
      <c r="E1792" s="498">
        <f ca="1">SUMIF($A$1:E$1757,$C1792,E$1:E$1758)</f>
        <v>0</v>
      </c>
      <c r="F1792" s="498">
        <f ca="1">SUMIF($A$1:F$1757,$C1792,F$1:F$1758)</f>
        <v>5338</v>
      </c>
      <c r="G1792" s="498">
        <f ca="1">SUMIF($A$1:G$1757,$C1792,G$1:G$1758)</f>
        <v>-8496</v>
      </c>
      <c r="H1792" s="498">
        <f t="shared" ca="1" si="160"/>
        <v>3251676</v>
      </c>
      <c r="I1792" s="498">
        <v>3714691</v>
      </c>
      <c r="J1792" s="498">
        <f t="shared" ca="1" si="166"/>
        <v>459857</v>
      </c>
      <c r="K1792" s="524">
        <f t="shared" ca="1" si="167"/>
        <v>0.14128431741833838</v>
      </c>
      <c r="L1792" s="498">
        <f t="shared" ca="1" si="168"/>
        <v>463015</v>
      </c>
      <c r="M1792" s="524">
        <f t="shared" ca="1" si="169"/>
        <v>0.14239272301422404</v>
      </c>
      <c r="N1792" s="524">
        <f t="shared" si="165"/>
        <v>4.9749075991741666E-3</v>
      </c>
    </row>
    <row r="1793" spans="1:14" x14ac:dyDescent="0.2">
      <c r="C1793" s="4" t="s">
        <v>500</v>
      </c>
      <c r="D1793" s="498">
        <f ca="1">SUMIF($A$1:D$1757,$C1793,D$1:D$1758)</f>
        <v>1308360</v>
      </c>
      <c r="E1793" s="498">
        <f ca="1">SUMIF($A$1:E$1757,$C1793,E$1:E$1758)</f>
        <v>0</v>
      </c>
      <c r="F1793" s="498">
        <f ca="1">SUMIF($A$1:F$1757,$C1793,F$1:F$1758)</f>
        <v>-51438</v>
      </c>
      <c r="G1793" s="498">
        <f ca="1">SUMIF($A$1:G$1757,$C1793,G$1:G$1758)</f>
        <v>72433</v>
      </c>
      <c r="H1793" s="498">
        <f t="shared" ca="1" si="160"/>
        <v>1329355</v>
      </c>
      <c r="I1793" s="498">
        <v>1998512</v>
      </c>
      <c r="J1793" s="498">
        <f t="shared" ca="1" si="166"/>
        <v>690152</v>
      </c>
      <c r="K1793" s="524">
        <f t="shared" ca="1" si="167"/>
        <v>0.52749396190650888</v>
      </c>
      <c r="L1793" s="498">
        <f t="shared" ca="1" si="168"/>
        <v>669157</v>
      </c>
      <c r="M1793" s="524">
        <f t="shared" ca="1" si="169"/>
        <v>0.50336967928055332</v>
      </c>
      <c r="N1793" s="524">
        <f t="shared" si="165"/>
        <v>2.6765113264712362E-3</v>
      </c>
    </row>
    <row r="1794" spans="1:14" x14ac:dyDescent="0.2">
      <c r="C1794" s="4" t="s">
        <v>889</v>
      </c>
      <c r="D1794" s="498">
        <f ca="1">SUMIF($A$1:D$1757,$C1794,D$1:D$1758)</f>
        <v>4314129</v>
      </c>
      <c r="E1794" s="498">
        <f ca="1">SUMIF($A$1:E$1757,$C1794,E$1:E$1758)</f>
        <v>0</v>
      </c>
      <c r="F1794" s="498">
        <f ca="1">SUMIF($A$1:F$1757,$C1794,F$1:F$1758)</f>
        <v>327188</v>
      </c>
      <c r="G1794" s="498">
        <f ca="1">SUMIF($A$1:G$1757,$C1794,G$1:G$1758)</f>
        <v>-12610</v>
      </c>
      <c r="H1794" s="498">
        <f t="shared" ref="H1794:H1857" ca="1" si="170">D1794+E1794+F1794+G1794</f>
        <v>4628707</v>
      </c>
      <c r="I1794" s="498">
        <v>5188921</v>
      </c>
      <c r="J1794" s="498">
        <f t="shared" ca="1" si="166"/>
        <v>874792</v>
      </c>
      <c r="K1794" s="524">
        <f t="shared" ca="1" si="167"/>
        <v>0.20277372327067641</v>
      </c>
      <c r="L1794" s="498">
        <f t="shared" ca="1" si="168"/>
        <v>560214</v>
      </c>
      <c r="M1794" s="524">
        <f t="shared" ca="1" si="169"/>
        <v>0.12103034389517418</v>
      </c>
      <c r="N1794" s="524">
        <f t="shared" si="165"/>
        <v>6.9492731735733646E-3</v>
      </c>
    </row>
    <row r="1795" spans="1:14" x14ac:dyDescent="0.2">
      <c r="C1795" s="4" t="s">
        <v>890</v>
      </c>
      <c r="D1795" s="498">
        <f ca="1">SUMIF($A$1:D$1757,$C1795,D$1:D$1758)</f>
        <v>4981896</v>
      </c>
      <c r="E1795" s="498">
        <f ca="1">SUMIF($A$1:E$1757,$C1795,E$1:E$1758)</f>
        <v>0</v>
      </c>
      <c r="F1795" s="498">
        <f ca="1">SUMIF($A$1:F$1757,$C1795,F$1:F$1758)</f>
        <v>236436</v>
      </c>
      <c r="G1795" s="498">
        <f ca="1">SUMIF($A$1:G$1757,$C1795,G$1:G$1758)</f>
        <v>-65087</v>
      </c>
      <c r="H1795" s="498">
        <f t="shared" ca="1" si="170"/>
        <v>5153245</v>
      </c>
      <c r="I1795" s="498">
        <v>5390954</v>
      </c>
      <c r="J1795" s="498">
        <f t="shared" ca="1" si="166"/>
        <v>409058</v>
      </c>
      <c r="K1795" s="524">
        <f t="shared" ca="1" si="167"/>
        <v>8.2108899904775212E-2</v>
      </c>
      <c r="L1795" s="498">
        <f t="shared" ca="1" si="168"/>
        <v>237709</v>
      </c>
      <c r="M1795" s="524">
        <f t="shared" ca="1" si="169"/>
        <v>4.6128022246176924E-2</v>
      </c>
      <c r="N1795" s="524">
        <f t="shared" si="165"/>
        <v>7.2198462863797743E-3</v>
      </c>
    </row>
    <row r="1796" spans="1:14" x14ac:dyDescent="0.2">
      <c r="C1796" s="467" t="s">
        <v>891</v>
      </c>
      <c r="D1796" s="7">
        <f ca="1">SUM(D1778:D1795)</f>
        <v>647905260</v>
      </c>
      <c r="E1796" s="7">
        <f ca="1">SUM(E1778:E1795)</f>
        <v>0</v>
      </c>
      <c r="F1796" s="7">
        <f ca="1">SUM(F1778:F1795)</f>
        <v>19059042</v>
      </c>
      <c r="G1796" s="7">
        <f ca="1">SUM(G1778:G1795)</f>
        <v>8270344</v>
      </c>
      <c r="H1796" s="7">
        <f t="shared" ca="1" si="170"/>
        <v>675234646</v>
      </c>
      <c r="I1796" s="7">
        <v>711140926</v>
      </c>
      <c r="J1796" s="7">
        <f t="shared" ca="1" si="166"/>
        <v>63235666</v>
      </c>
      <c r="K1796" s="968">
        <f t="shared" ca="1" si="167"/>
        <v>9.7600173827883413E-2</v>
      </c>
      <c r="L1796" s="7">
        <f t="shared" ca="1" si="168"/>
        <v>35906280</v>
      </c>
      <c r="M1796" s="968">
        <f t="shared" ca="1" si="169"/>
        <v>5.3176003649552071E-2</v>
      </c>
      <c r="N1796" s="968">
        <f t="shared" si="165"/>
        <v>0.95239695491257648</v>
      </c>
    </row>
    <row r="1797" spans="1:14" x14ac:dyDescent="0.2">
      <c r="C1797" s="4" t="s">
        <v>892</v>
      </c>
      <c r="D1797" s="161">
        <f>D1743</f>
        <v>3000000</v>
      </c>
      <c r="E1797" s="161">
        <f>E1743</f>
        <v>0</v>
      </c>
      <c r="F1797" s="161">
        <f>F1743</f>
        <v>0</v>
      </c>
      <c r="G1797" s="161">
        <f>G1743</f>
        <v>-693225</v>
      </c>
      <c r="H1797" s="161">
        <f t="shared" si="170"/>
        <v>2306775</v>
      </c>
      <c r="I1797" s="161">
        <v>3000000</v>
      </c>
      <c r="J1797" s="161">
        <f t="shared" si="166"/>
        <v>0</v>
      </c>
      <c r="K1797" s="969">
        <f t="shared" si="167"/>
        <v>0</v>
      </c>
      <c r="L1797" s="161">
        <f t="shared" si="168"/>
        <v>693225</v>
      </c>
      <c r="M1797" s="969">
        <f t="shared" si="169"/>
        <v>0.30051695548980722</v>
      </c>
      <c r="N1797" s="969">
        <f t="shared" si="165"/>
        <v>4.0177562003198925E-3</v>
      </c>
    </row>
    <row r="1798" spans="1:14" x14ac:dyDescent="0.2">
      <c r="C1798" s="4" t="s">
        <v>893</v>
      </c>
      <c r="D1798" s="498">
        <f ca="1">SUMIF($A$1:D$1757,$A$1738,D$1:D$1758)+D1746</f>
        <v>1064500</v>
      </c>
      <c r="E1798" s="498">
        <f ca="1">SUMIF($A$1:E$1757,$A$1738,E$1:E$1758)+E1746</f>
        <v>0</v>
      </c>
      <c r="F1798" s="498">
        <f ca="1">SUMIF($A$1:F$1757,$A$1738,F$1:F$1758)+F1746</f>
        <v>-33980</v>
      </c>
      <c r="G1798" s="498">
        <f ca="1">SUMIF($A$1:G$1757,$A$1738,G$1:G$1758)+G1746</f>
        <v>-37901</v>
      </c>
      <c r="H1798" s="498">
        <f t="shared" ca="1" si="170"/>
        <v>992619</v>
      </c>
      <c r="I1798" s="498">
        <v>1114500</v>
      </c>
      <c r="J1798" s="498">
        <f t="shared" ca="1" si="166"/>
        <v>50000</v>
      </c>
      <c r="K1798" s="524">
        <f t="shared" ca="1" si="167"/>
        <v>4.6970408642555188E-2</v>
      </c>
      <c r="L1798" s="498">
        <f t="shared" ca="1" si="168"/>
        <v>121881</v>
      </c>
      <c r="M1798" s="524">
        <f t="shared" ca="1" si="169"/>
        <v>0.12278729300970463</v>
      </c>
      <c r="N1798" s="524">
        <f t="shared" si="165"/>
        <v>1.49259642841884E-3</v>
      </c>
    </row>
    <row r="1799" spans="1:14" x14ac:dyDescent="0.2">
      <c r="C1799" s="4" t="s">
        <v>894</v>
      </c>
      <c r="D1799" s="161">
        <f t="shared" ref="D1799:G1800" si="171">D1748</f>
        <v>750000</v>
      </c>
      <c r="E1799" s="161">
        <f t="shared" si="171"/>
        <v>0</v>
      </c>
      <c r="F1799" s="161">
        <f t="shared" si="171"/>
        <v>0</v>
      </c>
      <c r="G1799" s="161">
        <f t="shared" si="171"/>
        <v>-25447</v>
      </c>
      <c r="H1799" s="161">
        <f t="shared" si="170"/>
        <v>724553</v>
      </c>
      <c r="I1799" s="161">
        <v>1500000</v>
      </c>
      <c r="J1799" s="161">
        <f t="shared" si="166"/>
        <v>750000</v>
      </c>
      <c r="K1799" s="969">
        <f t="shared" si="167"/>
        <v>1</v>
      </c>
      <c r="L1799" s="161">
        <f t="shared" si="168"/>
        <v>775447</v>
      </c>
      <c r="M1799" s="969">
        <f t="shared" si="169"/>
        <v>1.0702419284717613</v>
      </c>
      <c r="N1799" s="969">
        <f t="shared" si="165"/>
        <v>2.0088781001599463E-3</v>
      </c>
    </row>
    <row r="1800" spans="1:14" s="486" customFormat="1" x14ac:dyDescent="0.2">
      <c r="A1800" s="503"/>
      <c r="B1800" s="503"/>
      <c r="C1800" s="468" t="s">
        <v>895</v>
      </c>
      <c r="D1800" s="161">
        <f t="shared" si="171"/>
        <v>2000000</v>
      </c>
      <c r="E1800" s="161">
        <f t="shared" si="171"/>
        <v>0</v>
      </c>
      <c r="F1800" s="161">
        <f t="shared" si="171"/>
        <v>-951501</v>
      </c>
      <c r="G1800" s="161">
        <f t="shared" si="171"/>
        <v>0</v>
      </c>
      <c r="H1800" s="161">
        <f t="shared" si="170"/>
        <v>1048499</v>
      </c>
      <c r="I1800" s="161">
        <v>2000000</v>
      </c>
      <c r="J1800" s="161">
        <f t="shared" si="166"/>
        <v>0</v>
      </c>
      <c r="K1800" s="969">
        <f t="shared" si="167"/>
        <v>0</v>
      </c>
      <c r="L1800" s="161">
        <f t="shared" si="168"/>
        <v>951501</v>
      </c>
      <c r="M1800" s="969">
        <f t="shared" si="169"/>
        <v>0.9074887052825038</v>
      </c>
      <c r="N1800" s="969">
        <f t="shared" si="165"/>
        <v>2.6785041335465947E-3</v>
      </c>
    </row>
    <row r="1801" spans="1:14" x14ac:dyDescent="0.2">
      <c r="C1801" s="320" t="s">
        <v>896</v>
      </c>
      <c r="D1801" s="161">
        <f>D1751</f>
        <v>750000</v>
      </c>
      <c r="E1801" s="161">
        <f>E1751</f>
        <v>0</v>
      </c>
      <c r="F1801" s="161">
        <f>F1751</f>
        <v>-82458</v>
      </c>
      <c r="G1801" s="161">
        <f>G1751</f>
        <v>-27975</v>
      </c>
      <c r="H1801" s="161">
        <f t="shared" si="170"/>
        <v>639567</v>
      </c>
      <c r="I1801" s="161">
        <v>1500000</v>
      </c>
      <c r="J1801" s="161">
        <f t="shared" si="166"/>
        <v>750000</v>
      </c>
      <c r="K1801" s="969">
        <f t="shared" si="167"/>
        <v>1</v>
      </c>
      <c r="L1801" s="161">
        <f t="shared" si="168"/>
        <v>860433</v>
      </c>
      <c r="M1801" s="969">
        <f t="shared" si="169"/>
        <v>1.3453367669063601</v>
      </c>
      <c r="N1801" s="969">
        <f t="shared" si="165"/>
        <v>2.0088781001599463E-3</v>
      </c>
    </row>
    <row r="1802" spans="1:14" x14ac:dyDescent="0.2">
      <c r="C1802" s="320" t="s">
        <v>788</v>
      </c>
      <c r="D1802" s="161">
        <f>D1750</f>
        <v>1000000</v>
      </c>
      <c r="E1802" s="161">
        <f>E1750</f>
        <v>0</v>
      </c>
      <c r="F1802" s="161">
        <f>F1750</f>
        <v>1000000</v>
      </c>
      <c r="G1802" s="161">
        <f>G1750</f>
        <v>0</v>
      </c>
      <c r="H1802" s="161">
        <f t="shared" si="170"/>
        <v>2000000</v>
      </c>
      <c r="I1802" s="161">
        <v>1000000</v>
      </c>
      <c r="J1802" s="161">
        <f t="shared" si="166"/>
        <v>0</v>
      </c>
      <c r="K1802" s="969">
        <f t="shared" si="167"/>
        <v>0</v>
      </c>
      <c r="L1802" s="161">
        <f t="shared" si="168"/>
        <v>-1000000</v>
      </c>
      <c r="M1802" s="969">
        <f t="shared" si="169"/>
        <v>-0.5</v>
      </c>
      <c r="N1802" s="969">
        <f t="shared" si="165"/>
        <v>1.3392520667732974E-3</v>
      </c>
    </row>
    <row r="1803" spans="1:14" x14ac:dyDescent="0.2">
      <c r="C1803" s="320" t="s">
        <v>832</v>
      </c>
      <c r="D1803" s="161">
        <f>D1754</f>
        <v>250000</v>
      </c>
      <c r="E1803" s="161">
        <f>E1754</f>
        <v>0</v>
      </c>
      <c r="F1803" s="161">
        <f>F1754</f>
        <v>0</v>
      </c>
      <c r="G1803" s="161">
        <f>G1754</f>
        <v>0</v>
      </c>
      <c r="H1803" s="161">
        <f t="shared" si="170"/>
        <v>250000</v>
      </c>
      <c r="I1803" s="161">
        <v>6430000</v>
      </c>
      <c r="J1803" s="161">
        <f t="shared" si="166"/>
        <v>6180000</v>
      </c>
      <c r="K1803" s="969">
        <f t="shared" si="167"/>
        <v>24.72</v>
      </c>
      <c r="L1803" s="161">
        <f t="shared" si="168"/>
        <v>6180000</v>
      </c>
      <c r="M1803" s="969">
        <f t="shared" si="169"/>
        <v>24.72</v>
      </c>
      <c r="N1803" s="969">
        <f t="shared" si="165"/>
        <v>8.6113907893523023E-3</v>
      </c>
    </row>
    <row r="1804" spans="1:14" x14ac:dyDescent="0.2">
      <c r="C1804" s="320" t="s">
        <v>1072</v>
      </c>
      <c r="D1804" s="161">
        <f>D1756</f>
        <v>0</v>
      </c>
      <c r="E1804" s="161">
        <f>E1756</f>
        <v>0</v>
      </c>
      <c r="F1804" s="161">
        <f>F1756</f>
        <v>0</v>
      </c>
      <c r="G1804" s="161">
        <f>G1756</f>
        <v>2000000</v>
      </c>
      <c r="H1804" s="161">
        <f t="shared" si="170"/>
        <v>2000000</v>
      </c>
      <c r="I1804" s="161">
        <v>0</v>
      </c>
      <c r="J1804" s="161">
        <f t="shared" si="166"/>
        <v>0</v>
      </c>
      <c r="K1804" s="969"/>
      <c r="L1804" s="161">
        <f t="shared" si="168"/>
        <v>-2000000</v>
      </c>
      <c r="M1804" s="969">
        <f t="shared" si="169"/>
        <v>-1</v>
      </c>
      <c r="N1804" s="969">
        <f t="shared" si="165"/>
        <v>0</v>
      </c>
    </row>
    <row r="1805" spans="1:14" x14ac:dyDescent="0.2">
      <c r="C1805" s="467" t="s">
        <v>897</v>
      </c>
      <c r="D1805" s="7">
        <f ca="1">SUM(D1796:D1804)</f>
        <v>656719760</v>
      </c>
      <c r="E1805" s="7">
        <f t="shared" ref="E1805:G1805" ca="1" si="172">SUM(E1796:E1804)</f>
        <v>0</v>
      </c>
      <c r="F1805" s="7">
        <f t="shared" ca="1" si="172"/>
        <v>18991103</v>
      </c>
      <c r="G1805" s="7">
        <f t="shared" ca="1" si="172"/>
        <v>9485796</v>
      </c>
      <c r="H1805" s="7">
        <f t="shared" ca="1" si="170"/>
        <v>685196659</v>
      </c>
      <c r="I1805" s="7">
        <v>727685426</v>
      </c>
      <c r="J1805" s="7">
        <f t="shared" ca="1" si="166"/>
        <v>70965666</v>
      </c>
      <c r="K1805" s="968">
        <f t="shared" ca="1" si="167"/>
        <v>0.10806080511419361</v>
      </c>
      <c r="L1805" s="7">
        <f t="shared" ca="1" si="168"/>
        <v>42488767</v>
      </c>
      <c r="M1805" s="968">
        <f t="shared" ca="1" si="169"/>
        <v>6.200959453306383E-2</v>
      </c>
      <c r="N1805" s="968">
        <f t="shared" si="165"/>
        <v>0.97455421073130732</v>
      </c>
    </row>
    <row r="1806" spans="1:14" x14ac:dyDescent="0.2">
      <c r="C1806" s="4" t="s">
        <v>898</v>
      </c>
      <c r="D1806" s="161">
        <f>D1758</f>
        <v>19000000</v>
      </c>
      <c r="E1806" s="161">
        <f>E1758</f>
        <v>0</v>
      </c>
      <c r="F1806" s="161">
        <f>F1758</f>
        <v>0</v>
      </c>
      <c r="G1806" s="161">
        <f>G1758</f>
        <v>0</v>
      </c>
      <c r="H1806" s="161">
        <f t="shared" si="170"/>
        <v>19000000</v>
      </c>
      <c r="I1806" s="161">
        <v>19000000</v>
      </c>
      <c r="J1806" s="161">
        <f t="shared" si="166"/>
        <v>0</v>
      </c>
      <c r="K1806" s="969">
        <f t="shared" si="167"/>
        <v>0</v>
      </c>
      <c r="L1806" s="161">
        <f t="shared" si="168"/>
        <v>0</v>
      </c>
      <c r="M1806" s="969">
        <f t="shared" si="169"/>
        <v>0</v>
      </c>
      <c r="N1806" s="969">
        <f t="shared" si="165"/>
        <v>2.5445789268692651E-2</v>
      </c>
    </row>
    <row r="1807" spans="1:14" x14ac:dyDescent="0.2">
      <c r="C1807" s="467" t="s">
        <v>52</v>
      </c>
      <c r="D1807" s="7">
        <f ca="1">SUM(D1805:D1806)</f>
        <v>675719760</v>
      </c>
      <c r="E1807" s="7">
        <f t="shared" ref="E1807" ca="1" si="173">SUM(E1805:E1806)</f>
        <v>0</v>
      </c>
      <c r="F1807" s="7">
        <f t="shared" ref="F1807:G1807" ca="1" si="174">SUM(F1805:F1806)</f>
        <v>18991103</v>
      </c>
      <c r="G1807" s="7">
        <f t="shared" ca="1" si="174"/>
        <v>9485796</v>
      </c>
      <c r="H1807" s="7">
        <f t="shared" ca="1" si="170"/>
        <v>704196659</v>
      </c>
      <c r="I1807" s="7">
        <v>746685426</v>
      </c>
      <c r="J1807" s="7">
        <f t="shared" ca="1" si="166"/>
        <v>70965666</v>
      </c>
      <c r="K1807" s="968">
        <f t="shared" ca="1" si="167"/>
        <v>0.10502233351885402</v>
      </c>
      <c r="L1807" s="7">
        <f t="shared" ca="1" si="168"/>
        <v>42488767</v>
      </c>
      <c r="M1807" s="968">
        <f t="shared" ca="1" si="169"/>
        <v>6.0336507503935773E-2</v>
      </c>
      <c r="N1807" s="968">
        <f t="shared" si="165"/>
        <v>1</v>
      </c>
    </row>
    <row r="1808" spans="1:14" s="12" customFormat="1" x14ac:dyDescent="0.2">
      <c r="A1808" s="503"/>
      <c r="B1808" s="503"/>
      <c r="C1808" s="467"/>
      <c r="D1808" s="487">
        <f ca="1">D1807-D1764</f>
        <v>0</v>
      </c>
      <c r="E1808" s="487">
        <f ca="1">E1807-E1764</f>
        <v>0</v>
      </c>
      <c r="F1808" s="487">
        <f ca="1">F1807-F1764</f>
        <v>0</v>
      </c>
      <c r="G1808" s="487">
        <f ca="1">G1807-G1764</f>
        <v>0</v>
      </c>
      <c r="H1808" s="487">
        <f t="shared" ca="1" si="170"/>
        <v>0</v>
      </c>
      <c r="I1808" s="487">
        <v>0</v>
      </c>
      <c r="J1808" s="487">
        <f t="shared" ca="1" si="166"/>
        <v>0</v>
      </c>
      <c r="K1808" s="970"/>
      <c r="L1808" s="487">
        <f t="shared" ca="1" si="168"/>
        <v>0</v>
      </c>
      <c r="M1808" s="970"/>
    </row>
    <row r="1809" spans="1:13" s="12" customFormat="1" hidden="1" x14ac:dyDescent="0.2">
      <c r="A1809" s="503"/>
      <c r="B1809" s="503"/>
      <c r="C1809" s="469" t="s">
        <v>899</v>
      </c>
      <c r="D1809" s="487"/>
      <c r="E1809" s="487"/>
      <c r="F1809" s="487"/>
      <c r="G1809" s="487"/>
      <c r="H1809" s="487">
        <f t="shared" si="170"/>
        <v>0</v>
      </c>
      <c r="I1809" s="487">
        <v>0</v>
      </c>
      <c r="J1809" s="487">
        <f t="shared" si="166"/>
        <v>0</v>
      </c>
      <c r="K1809" s="970"/>
      <c r="L1809" s="487">
        <f t="shared" si="168"/>
        <v>0</v>
      </c>
      <c r="M1809" s="970"/>
    </row>
    <row r="1810" spans="1:13" s="12" customFormat="1" hidden="1" x14ac:dyDescent="0.2">
      <c r="A1810" s="503"/>
      <c r="B1810" s="503"/>
      <c r="C1810" s="470" t="s">
        <v>900</v>
      </c>
      <c r="D1810" s="487"/>
      <c r="E1810" s="487"/>
      <c r="F1810" s="487"/>
      <c r="G1810" s="487"/>
      <c r="H1810" s="487">
        <f t="shared" si="170"/>
        <v>0</v>
      </c>
      <c r="I1810" s="487">
        <v>0</v>
      </c>
      <c r="J1810" s="487">
        <f t="shared" si="166"/>
        <v>0</v>
      </c>
      <c r="K1810" s="970"/>
      <c r="L1810" s="487">
        <f t="shared" si="168"/>
        <v>0</v>
      </c>
      <c r="M1810" s="970"/>
    </row>
    <row r="1811" spans="1:13" s="12" customFormat="1" hidden="1" x14ac:dyDescent="0.2">
      <c r="A1811" s="503"/>
      <c r="B1811" s="503"/>
      <c r="C1811" s="467"/>
      <c r="D1811" s="487"/>
      <c r="E1811" s="487"/>
      <c r="F1811" s="487"/>
      <c r="G1811" s="487"/>
      <c r="H1811" s="487">
        <f t="shared" si="170"/>
        <v>0</v>
      </c>
      <c r="I1811" s="487">
        <v>0</v>
      </c>
      <c r="J1811" s="487">
        <f t="shared" si="166"/>
        <v>0</v>
      </c>
      <c r="K1811" s="970"/>
      <c r="L1811" s="487">
        <f t="shared" si="168"/>
        <v>0</v>
      </c>
      <c r="M1811" s="970"/>
    </row>
    <row r="1812" spans="1:13" s="12" customFormat="1" hidden="1" x14ac:dyDescent="0.2">
      <c r="A1812" s="726"/>
      <c r="B1812" s="726"/>
      <c r="C1812" s="4" t="s">
        <v>861</v>
      </c>
      <c r="D1812" s="498">
        <f ca="1">SUMIF($B$1:D$1758,$C1812,D$1:D$1758)</f>
        <v>2629982</v>
      </c>
      <c r="E1812" s="498">
        <f ca="1">SUMIF($B$1:E$1758,$C1812,E$1:E$1758)</f>
        <v>0</v>
      </c>
      <c r="F1812" s="498">
        <f ca="1">SUMIF($B$1:F$1758,$C1812,F$1:F$1758)</f>
        <v>-20376</v>
      </c>
      <c r="G1812" s="498">
        <f ca="1">SUMIF($B$1:G$1758,$C1812,G$1:G$1758)</f>
        <v>19202</v>
      </c>
      <c r="H1812" s="498">
        <f t="shared" ca="1" si="170"/>
        <v>2628808</v>
      </c>
      <c r="I1812" s="498">
        <v>2807699</v>
      </c>
      <c r="J1812" s="498">
        <f t="shared" ca="1" si="166"/>
        <v>177717</v>
      </c>
      <c r="K1812" s="524">
        <f t="shared" ca="1" si="167"/>
        <v>6.7573466282278741E-2</v>
      </c>
      <c r="L1812" s="498">
        <f t="shared" ca="1" si="168"/>
        <v>178891</v>
      </c>
      <c r="M1812" s="524">
        <f t="shared" ca="1" si="169"/>
        <v>6.8050234174576466E-2</v>
      </c>
    </row>
    <row r="1813" spans="1:13" s="12" customFormat="1" hidden="1" x14ac:dyDescent="0.2">
      <c r="A1813" s="726"/>
      <c r="B1813" s="726"/>
      <c r="C1813" s="4" t="s">
        <v>194</v>
      </c>
      <c r="D1813" s="498">
        <f ca="1">SUMIF($B$1:D$1758,$C1813,D$1:D$1758)</f>
        <v>6992253</v>
      </c>
      <c r="E1813" s="498">
        <f ca="1">SUMIF($B$1:E$1758,$C1813,E$1:E$1758)</f>
        <v>0</v>
      </c>
      <c r="F1813" s="498">
        <f ca="1">SUMIF($B$1:F$1758,$C1813,F$1:F$1758)</f>
        <v>266199</v>
      </c>
      <c r="G1813" s="498">
        <f ca="1">SUMIF($B$1:G$1758,$C1813,G$1:G$1758)</f>
        <v>352138</v>
      </c>
      <c r="H1813" s="498">
        <f t="shared" ca="1" si="170"/>
        <v>7610590</v>
      </c>
      <c r="I1813" s="498">
        <v>7219817</v>
      </c>
      <c r="J1813" s="498">
        <f t="shared" ca="1" si="166"/>
        <v>227564</v>
      </c>
      <c r="K1813" s="524">
        <f t="shared" ca="1" si="167"/>
        <v>3.2545161051809768E-2</v>
      </c>
      <c r="L1813" s="498">
        <f t="shared" ca="1" si="168"/>
        <v>-390773</v>
      </c>
      <c r="M1813" s="524">
        <f t="shared" ca="1" si="169"/>
        <v>-5.1345953467470985E-2</v>
      </c>
    </row>
    <row r="1814" spans="1:13" s="12" customFormat="1" hidden="1" x14ac:dyDescent="0.2">
      <c r="A1814" s="726"/>
      <c r="B1814" s="726"/>
      <c r="C1814" s="6" t="s">
        <v>792</v>
      </c>
      <c r="D1814" s="498">
        <f ca="1">SUMIF($B$1:D$1758,$C1814,D$1:D$1758)</f>
        <v>42127952</v>
      </c>
      <c r="E1814" s="498">
        <f ca="1">SUMIF($B$1:E$1758,$C1814,E$1:E$1758)</f>
        <v>0</v>
      </c>
      <c r="F1814" s="498">
        <f ca="1">SUMIF($B$1:F$1758,$C1814,F$1:F$1758)</f>
        <v>1548206</v>
      </c>
      <c r="G1814" s="498">
        <f ca="1">SUMIF($B$1:G$1758,$C1814,G$1:G$1758)</f>
        <v>-371645</v>
      </c>
      <c r="H1814" s="498">
        <f t="shared" ca="1" si="170"/>
        <v>43304513</v>
      </c>
      <c r="I1814" s="498">
        <v>47514577</v>
      </c>
      <c r="J1814" s="498">
        <f t="shared" ca="1" si="166"/>
        <v>5386625</v>
      </c>
      <c r="K1814" s="524">
        <f t="shared" ca="1" si="167"/>
        <v>0.12786344325496762</v>
      </c>
      <c r="L1814" s="498">
        <f t="shared" ca="1" si="168"/>
        <v>4210064</v>
      </c>
      <c r="M1814" s="524">
        <f t="shared" ca="1" si="169"/>
        <v>9.7219982591652751E-2</v>
      </c>
    </row>
    <row r="1815" spans="1:13" s="12" customFormat="1" hidden="1" x14ac:dyDescent="0.2">
      <c r="A1815" s="726"/>
      <c r="B1815" s="726"/>
      <c r="C1815" s="4" t="s">
        <v>195</v>
      </c>
      <c r="D1815" s="498">
        <f ca="1">SUMIF($B$1:D$1758,$C1815,D$1:D$1758)</f>
        <v>2461909</v>
      </c>
      <c r="E1815" s="498">
        <f ca="1">SUMIF($B$1:E$1758,$C1815,E$1:E$1758)</f>
        <v>0</v>
      </c>
      <c r="F1815" s="498">
        <f ca="1">SUMIF($B$1:F$1758,$C1815,F$1:F$1758)</f>
        <v>3102</v>
      </c>
      <c r="G1815" s="498">
        <f ca="1">SUMIF($B$1:G$1758,$C1815,G$1:G$1758)</f>
        <v>5620</v>
      </c>
      <c r="H1815" s="498">
        <f t="shared" ca="1" si="170"/>
        <v>2470631</v>
      </c>
      <c r="I1815" s="498">
        <v>2334156</v>
      </c>
      <c r="J1815" s="498">
        <f t="shared" ca="1" si="166"/>
        <v>-127753</v>
      </c>
      <c r="K1815" s="524">
        <f t="shared" ca="1" si="167"/>
        <v>-5.1891844905721539E-2</v>
      </c>
      <c r="L1815" s="498">
        <f t="shared" ca="1" si="168"/>
        <v>-136475</v>
      </c>
      <c r="M1815" s="524">
        <f t="shared" ca="1" si="169"/>
        <v>-5.5238924792897034E-2</v>
      </c>
    </row>
    <row r="1816" spans="1:13" s="12" customFormat="1" hidden="1" x14ac:dyDescent="0.2">
      <c r="A1816" s="726"/>
      <c r="B1816" s="726"/>
      <c r="C1816" s="4" t="s">
        <v>120</v>
      </c>
      <c r="D1816" s="498">
        <f ca="1">SUMIF($B$1:D$1758,$C1816,D$1:D$1758)</f>
        <v>274419883</v>
      </c>
      <c r="E1816" s="498">
        <f ca="1">SUMIF($B$1:E$1758,$C1816,E$1:E$1758)</f>
        <v>0</v>
      </c>
      <c r="F1816" s="498">
        <f ca="1">SUMIF($B$1:F$1758,$C1816,F$1:F$1758)</f>
        <v>1295392</v>
      </c>
      <c r="G1816" s="498">
        <f ca="1">SUMIF($B$1:G$1758,$C1816,G$1:G$1758)</f>
        <v>-342124</v>
      </c>
      <c r="H1816" s="498">
        <f t="shared" ca="1" si="170"/>
        <v>275373151</v>
      </c>
      <c r="I1816" s="498">
        <v>289197912</v>
      </c>
      <c r="J1816" s="498">
        <f t="shared" ca="1" si="166"/>
        <v>14778029</v>
      </c>
      <c r="K1816" s="524">
        <f t="shared" ca="1" si="167"/>
        <v>5.3851888713180453E-2</v>
      </c>
      <c r="L1816" s="498">
        <f t="shared" ca="1" si="168"/>
        <v>13824761</v>
      </c>
      <c r="M1816" s="524">
        <f t="shared" ca="1" si="169"/>
        <v>5.0203736093356467E-2</v>
      </c>
    </row>
    <row r="1817" spans="1:13" s="12" customFormat="1" hidden="1" x14ac:dyDescent="0.2">
      <c r="A1817" s="726"/>
      <c r="B1817" s="726"/>
      <c r="C1817" s="4" t="s">
        <v>783</v>
      </c>
      <c r="D1817" s="498">
        <f ca="1">SUMIF($B$1:D$1758,$C1817,D$1:D$1758)</f>
        <v>34728744</v>
      </c>
      <c r="E1817" s="498">
        <f ca="1">SUMIF($B$1:E$1758,$C1817,E$1:E$1758)</f>
        <v>0</v>
      </c>
      <c r="F1817" s="498">
        <f ca="1">SUMIF($B$1:F$1758,$C1817,F$1:F$1758)</f>
        <v>696009</v>
      </c>
      <c r="G1817" s="498">
        <f ca="1">SUMIF($B$1:G$1758,$C1817,G$1:G$1758)</f>
        <v>-1224279</v>
      </c>
      <c r="H1817" s="498">
        <f t="shared" ca="1" si="170"/>
        <v>34200474</v>
      </c>
      <c r="I1817" s="498">
        <v>35913336</v>
      </c>
      <c r="J1817" s="498">
        <f t="shared" ca="1" si="166"/>
        <v>1184592</v>
      </c>
      <c r="K1817" s="524">
        <f t="shared" ca="1" si="167"/>
        <v>3.4109842843726222E-2</v>
      </c>
      <c r="L1817" s="498">
        <f t="shared" ca="1" si="168"/>
        <v>1712862</v>
      </c>
      <c r="M1817" s="524">
        <f t="shared" ca="1" si="169"/>
        <v>5.0082990077856819E-2</v>
      </c>
    </row>
    <row r="1818" spans="1:13" s="12" customFormat="1" hidden="1" x14ac:dyDescent="0.2">
      <c r="A1818" s="726"/>
      <c r="B1818" s="726"/>
      <c r="C1818" s="4" t="s">
        <v>202</v>
      </c>
      <c r="D1818" s="498">
        <f ca="1">SUMIF($B$1:D$1758,$C1818,D$1:D$1758)</f>
        <v>64354819</v>
      </c>
      <c r="E1818" s="498">
        <f ca="1">SUMIF($B$1:E$1758,$C1818,E$1:E$1758)</f>
        <v>-446520</v>
      </c>
      <c r="F1818" s="498">
        <f ca="1">SUMIF($B$1:F$1758,$C1818,F$1:F$1758)</f>
        <v>6517841</v>
      </c>
      <c r="G1818" s="498">
        <f ca="1">SUMIF($B$1:G$1758,$C1818,G$1:G$1758)</f>
        <v>3804909</v>
      </c>
      <c r="H1818" s="498">
        <f t="shared" ca="1" si="170"/>
        <v>74231049</v>
      </c>
      <c r="I1818" s="498">
        <v>75819407</v>
      </c>
      <c r="J1818" s="498">
        <f t="shared" ca="1" si="166"/>
        <v>11464588</v>
      </c>
      <c r="K1818" s="524">
        <f t="shared" ca="1" si="167"/>
        <v>0.17814653476066805</v>
      </c>
      <c r="L1818" s="498">
        <f t="shared" ca="1" si="168"/>
        <v>1588358</v>
      </c>
      <c r="M1818" s="524">
        <f t="shared" ca="1" si="169"/>
        <v>2.1397488266668575E-2</v>
      </c>
    </row>
    <row r="1819" spans="1:13" s="12" customFormat="1" hidden="1" x14ac:dyDescent="0.2">
      <c r="A1819" s="726"/>
      <c r="B1819" s="726"/>
      <c r="C1819" s="6" t="s">
        <v>873</v>
      </c>
      <c r="D1819" s="498">
        <f ca="1">SUMIF($B$1:D$1758,$C1819,D$1:D$1758)</f>
        <v>23739972</v>
      </c>
      <c r="E1819" s="498">
        <f ca="1">SUMIF($B$1:E$1758,$C1819,E$1:E$1758)</f>
        <v>0</v>
      </c>
      <c r="F1819" s="498">
        <f ca="1">SUMIF($B$1:F$1758,$C1819,F$1:F$1758)</f>
        <v>1703078</v>
      </c>
      <c r="G1819" s="498">
        <f ca="1">SUMIF($B$1:G$1758,$C1819,G$1:G$1758)</f>
        <v>10356</v>
      </c>
      <c r="H1819" s="498">
        <f t="shared" ca="1" si="170"/>
        <v>25453406</v>
      </c>
      <c r="I1819" s="498">
        <v>27428628</v>
      </c>
      <c r="J1819" s="498">
        <f t="shared" ca="1" si="166"/>
        <v>3688656</v>
      </c>
      <c r="K1819" s="524">
        <f t="shared" ca="1" si="167"/>
        <v>0.15537743683943689</v>
      </c>
      <c r="L1819" s="498">
        <f t="shared" ca="1" si="168"/>
        <v>1975222</v>
      </c>
      <c r="M1819" s="524">
        <f t="shared" ca="1" si="169"/>
        <v>7.7601480917720789E-2</v>
      </c>
    </row>
    <row r="1820" spans="1:13" s="12" customFormat="1" hidden="1" x14ac:dyDescent="0.2">
      <c r="A1820" s="726"/>
      <c r="B1820" s="726"/>
      <c r="C1820" s="6" t="s">
        <v>875</v>
      </c>
      <c r="D1820" s="498">
        <f ca="1">SUMIF($B$1:D$1758,$C1820,D$1:D$1758)</f>
        <v>94755819</v>
      </c>
      <c r="E1820" s="498">
        <f ca="1">SUMIF($B$1:E$1758,$C1820,E$1:E$1758)</f>
        <v>0</v>
      </c>
      <c r="F1820" s="498">
        <f ca="1">SUMIF($B$1:F$1758,$C1820,F$1:F$1758)</f>
        <v>3078231</v>
      </c>
      <c r="G1820" s="498">
        <f ca="1">SUMIF($B$1:G$1758,$C1820,G$1:G$1758)</f>
        <v>-5407</v>
      </c>
      <c r="H1820" s="498">
        <f t="shared" ca="1" si="170"/>
        <v>97828643</v>
      </c>
      <c r="I1820" s="498">
        <v>112946750</v>
      </c>
      <c r="J1820" s="498">
        <f t="shared" ca="1" si="166"/>
        <v>18190931</v>
      </c>
      <c r="K1820" s="524">
        <f t="shared" ca="1" si="167"/>
        <v>0.19197692755945681</v>
      </c>
      <c r="L1820" s="498">
        <f t="shared" ca="1" si="168"/>
        <v>15118107</v>
      </c>
      <c r="M1820" s="524">
        <f t="shared" ca="1" si="169"/>
        <v>0.15453661153206427</v>
      </c>
    </row>
    <row r="1821" spans="1:13" s="12" customFormat="1" hidden="1" x14ac:dyDescent="0.2">
      <c r="A1821" s="726"/>
      <c r="B1821" s="726"/>
      <c r="C1821" s="6" t="s">
        <v>876</v>
      </c>
      <c r="D1821" s="498">
        <f ca="1">SUMIF($B$1:D$1758,$C1821,D$1:D$1758)</f>
        <v>58288411</v>
      </c>
      <c r="E1821" s="498">
        <f ca="1">SUMIF($B$1:E$1758,$C1821,E$1:E$1758)</f>
        <v>0</v>
      </c>
      <c r="F1821" s="498">
        <f ca="1">SUMIF($B$1:F$1758,$C1821,F$1:F$1758)</f>
        <v>3046910</v>
      </c>
      <c r="G1821" s="498">
        <f ca="1">SUMIF($B$1:G$1758,$C1821,G$1:G$1758)</f>
        <v>5963141</v>
      </c>
      <c r="H1821" s="498">
        <f t="shared" ca="1" si="170"/>
        <v>67298462</v>
      </c>
      <c r="I1821" s="498">
        <v>63345331</v>
      </c>
      <c r="J1821" s="498">
        <f t="shared" ca="1" si="166"/>
        <v>5056920</v>
      </c>
      <c r="K1821" s="524">
        <f t="shared" ca="1" si="167"/>
        <v>8.6756868359303879E-2</v>
      </c>
      <c r="L1821" s="498">
        <f t="shared" ca="1" si="168"/>
        <v>-3953131</v>
      </c>
      <c r="M1821" s="524">
        <f t="shared" ca="1" si="169"/>
        <v>-5.8740287408053989E-2</v>
      </c>
    </row>
    <row r="1822" spans="1:13" s="12" customFormat="1" hidden="1" x14ac:dyDescent="0.2">
      <c r="A1822" s="726"/>
      <c r="B1822" s="726"/>
      <c r="C1822" s="4" t="s">
        <v>901</v>
      </c>
      <c r="D1822" s="498">
        <f ca="1">SUMIF($B$1:D$1758,$C1822,D$1:D$1758)</f>
        <v>4809086</v>
      </c>
      <c r="E1822" s="498">
        <f ca="1">SUMIF($B$1:E$1758,$C1822,E$1:E$1758)</f>
        <v>0</v>
      </c>
      <c r="F1822" s="498">
        <f ca="1">SUMIF($B$1:F$1758,$C1822,F$1:F$1758)</f>
        <v>334541</v>
      </c>
      <c r="G1822" s="498">
        <f ca="1">SUMIF($B$1:G$1758,$C1822,G$1:G$1758)</f>
        <v>-12610</v>
      </c>
      <c r="H1822" s="498">
        <f t="shared" ca="1" si="170"/>
        <v>5131017</v>
      </c>
      <c r="I1822" s="498">
        <v>4653907</v>
      </c>
      <c r="J1822" s="498">
        <f t="shared" ca="1" si="166"/>
        <v>-155179</v>
      </c>
      <c r="K1822" s="524">
        <f t="shared" ca="1" si="167"/>
        <v>-3.2267877929402798E-2</v>
      </c>
      <c r="L1822" s="498">
        <f t="shared" ca="1" si="168"/>
        <v>-477110</v>
      </c>
      <c r="M1822" s="524">
        <f t="shared" ca="1" si="169"/>
        <v>-9.2985464674936763E-2</v>
      </c>
    </row>
    <row r="1823" spans="1:13" s="12" customFormat="1" hidden="1" x14ac:dyDescent="0.2">
      <c r="A1823" s="726"/>
      <c r="B1823" s="726"/>
      <c r="C1823" s="4" t="s">
        <v>902</v>
      </c>
      <c r="D1823" s="498">
        <f ca="1">SUMIF($B$1:D$1758,$C1823,D$1:D$1758)</f>
        <v>4973896</v>
      </c>
      <c r="E1823" s="498">
        <f ca="1">SUMIF($B$1:E$1758,$C1823,E$1:E$1758)</f>
        <v>0</v>
      </c>
      <c r="F1823" s="498">
        <f ca="1">SUMIF($B$1:F$1758,$C1823,F$1:F$1758)</f>
        <v>236436</v>
      </c>
      <c r="G1823" s="498">
        <f ca="1">SUMIF($B$1:G$1758,$C1823,G$1:G$1758)</f>
        <v>-65087</v>
      </c>
      <c r="H1823" s="498">
        <f t="shared" ca="1" si="170"/>
        <v>5145245</v>
      </c>
      <c r="I1823" s="498">
        <v>6211454</v>
      </c>
      <c r="J1823" s="498">
        <f t="shared" ca="1" si="166"/>
        <v>1237558</v>
      </c>
      <c r="K1823" s="524">
        <f t="shared" ca="1" si="167"/>
        <v>0.24881059032999484</v>
      </c>
      <c r="L1823" s="498">
        <f t="shared" ca="1" si="168"/>
        <v>1066209</v>
      </c>
      <c r="M1823" s="524">
        <f t="shared" ca="1" si="169"/>
        <v>0.20722220224692897</v>
      </c>
    </row>
    <row r="1824" spans="1:13" s="12" customFormat="1" hidden="1" x14ac:dyDescent="0.2">
      <c r="A1824" s="726"/>
      <c r="B1824" s="726"/>
      <c r="C1824" s="4" t="s">
        <v>270</v>
      </c>
      <c r="D1824" s="498">
        <f ca="1">SUMIF($B$1:D$1758,$C1824,D$1:D$1758)</f>
        <v>2591729</v>
      </c>
      <c r="E1824" s="498">
        <f ca="1">SUMIF($B$1:E$1758,$C1824,E$1:E$1758)</f>
        <v>37326</v>
      </c>
      <c r="F1824" s="498">
        <f ca="1">SUMIF($B$1:F$1758,$C1824,F$1:F$1758)</f>
        <v>-12774</v>
      </c>
      <c r="G1824" s="498">
        <f ca="1">SUMIF($B$1:G$1758,$C1824,G$1:G$1758)</f>
        <v>-2208</v>
      </c>
      <c r="H1824" s="498">
        <f t="shared" ca="1" si="170"/>
        <v>2614073</v>
      </c>
      <c r="I1824" s="498">
        <v>2687764</v>
      </c>
      <c r="J1824" s="498">
        <f t="shared" ca="1" si="166"/>
        <v>96035</v>
      </c>
      <c r="K1824" s="524">
        <f t="shared" ca="1" si="167"/>
        <v>3.7054414253959424E-2</v>
      </c>
      <c r="L1824" s="498">
        <f t="shared" ca="1" si="168"/>
        <v>73691</v>
      </c>
      <c r="M1824" s="524">
        <f t="shared" ca="1" si="169"/>
        <v>2.8190107927360864E-2</v>
      </c>
    </row>
    <row r="1825" spans="1:13" s="12" customFormat="1" hidden="1" x14ac:dyDescent="0.2">
      <c r="A1825" s="726"/>
      <c r="B1825" s="726"/>
      <c r="C1825" s="4" t="s">
        <v>468</v>
      </c>
      <c r="D1825" s="498">
        <f ca="1">SUMIF($B$1:D$1758,$C1825,D$1:D$1758)</f>
        <v>6175394</v>
      </c>
      <c r="E1825" s="498">
        <f ca="1">SUMIF($B$1:E$1758,$C1825,E$1:E$1758)</f>
        <v>49486</v>
      </c>
      <c r="F1825" s="498">
        <f ca="1">SUMIF($B$1:F$1758,$C1825,F$1:F$1758)</f>
        <v>-89746</v>
      </c>
      <c r="G1825" s="498">
        <f ca="1">SUMIF($B$1:G$1758,$C1825,G$1:G$1758)</f>
        <v>-63922</v>
      </c>
      <c r="H1825" s="498">
        <f t="shared" ca="1" si="170"/>
        <v>6071212</v>
      </c>
      <c r="I1825" s="498">
        <v>6391786</v>
      </c>
      <c r="J1825" s="498">
        <f t="shared" ca="1" si="166"/>
        <v>216392</v>
      </c>
      <c r="K1825" s="524">
        <f t="shared" ca="1" si="167"/>
        <v>3.5041003051789081E-2</v>
      </c>
      <c r="L1825" s="498">
        <f t="shared" ca="1" si="168"/>
        <v>320574</v>
      </c>
      <c r="M1825" s="524">
        <f t="shared" ca="1" si="169"/>
        <v>5.2802307018763303E-2</v>
      </c>
    </row>
    <row r="1826" spans="1:13" s="12" customFormat="1" hidden="1" x14ac:dyDescent="0.2">
      <c r="A1826" s="726"/>
      <c r="B1826" s="726"/>
      <c r="C1826" s="4" t="s">
        <v>277</v>
      </c>
      <c r="D1826" s="498">
        <f ca="1">SUMIF($B$1:D$1758,$C1826,D$1:D$1758)</f>
        <v>2656308</v>
      </c>
      <c r="E1826" s="498">
        <f ca="1">SUMIF($B$1:E$1758,$C1826,E$1:E$1758)</f>
        <v>53499</v>
      </c>
      <c r="F1826" s="498">
        <f ca="1">SUMIF($B$1:F$1758,$C1826,F$1:F$1758)</f>
        <v>60243</v>
      </c>
      <c r="G1826" s="498">
        <f ca="1">SUMIF($B$1:G$1758,$C1826,G$1:G$1758)</f>
        <v>25669</v>
      </c>
      <c r="H1826" s="498">
        <f t="shared" ca="1" si="170"/>
        <v>2795719</v>
      </c>
      <c r="I1826" s="498">
        <v>2844586</v>
      </c>
      <c r="J1826" s="498">
        <f t="shared" ca="1" si="166"/>
        <v>188278</v>
      </c>
      <c r="K1826" s="524">
        <f t="shared" ca="1" si="167"/>
        <v>7.087958173525058E-2</v>
      </c>
      <c r="L1826" s="498">
        <f t="shared" ca="1" si="168"/>
        <v>48867</v>
      </c>
      <c r="M1826" s="524">
        <f t="shared" ca="1" si="169"/>
        <v>1.7479224485722634E-2</v>
      </c>
    </row>
    <row r="1827" spans="1:13" s="12" customFormat="1" hidden="1" x14ac:dyDescent="0.2">
      <c r="A1827" s="726"/>
      <c r="B1827" s="726"/>
      <c r="C1827" s="4" t="s">
        <v>278</v>
      </c>
      <c r="D1827" s="498">
        <f ca="1">SUMIF($B$1:D$1758,$C1827,D$1:D$1758)</f>
        <v>6435141</v>
      </c>
      <c r="E1827" s="498">
        <f ca="1">SUMIF($B$1:E$1758,$C1827,E$1:E$1758)</f>
        <v>114924</v>
      </c>
      <c r="F1827" s="498">
        <f ca="1">SUMIF($B$1:F$1758,$C1827,F$1:F$1758)</f>
        <v>115088</v>
      </c>
      <c r="G1827" s="498">
        <f ca="1">SUMIF($B$1:G$1758,$C1827,G$1:G$1758)</f>
        <v>91306</v>
      </c>
      <c r="H1827" s="498">
        <f t="shared" ca="1" si="170"/>
        <v>6756459</v>
      </c>
      <c r="I1827" s="498">
        <v>6757048</v>
      </c>
      <c r="J1827" s="498">
        <f t="shared" ca="1" si="166"/>
        <v>321907</v>
      </c>
      <c r="K1827" s="524">
        <f t="shared" ca="1" si="167"/>
        <v>5.0023301742727934E-2</v>
      </c>
      <c r="L1827" s="498">
        <f t="shared" ca="1" si="168"/>
        <v>589</v>
      </c>
      <c r="M1827" s="524">
        <f t="shared" ca="1" si="169"/>
        <v>8.7175841664990488E-5</v>
      </c>
    </row>
    <row r="1828" spans="1:13" s="12" customFormat="1" hidden="1" x14ac:dyDescent="0.2">
      <c r="A1828" s="726"/>
      <c r="B1828" s="726"/>
      <c r="C1828" s="4" t="s">
        <v>279</v>
      </c>
      <c r="D1828" s="498">
        <f ca="1">SUMIF($B$1:D$1758,$C1828,D$1:D$1758)</f>
        <v>4333642</v>
      </c>
      <c r="E1828" s="498">
        <f ca="1">SUMIF($B$1:E$1758,$C1828,E$1:E$1758)</f>
        <v>57252</v>
      </c>
      <c r="F1828" s="498">
        <f ca="1">SUMIF($B$1:F$1758,$C1828,F$1:F$1758)</f>
        <v>19450</v>
      </c>
      <c r="G1828" s="498">
        <f ca="1">SUMIF($B$1:G$1758,$C1828,G$1:G$1758)</f>
        <v>-6157</v>
      </c>
      <c r="H1828" s="498">
        <f t="shared" ca="1" si="170"/>
        <v>4404187</v>
      </c>
      <c r="I1828" s="498">
        <v>4711675</v>
      </c>
      <c r="J1828" s="498">
        <f t="shared" ca="1" si="166"/>
        <v>378033</v>
      </c>
      <c r="K1828" s="524">
        <f t="shared" ca="1" si="167"/>
        <v>8.7232171000742556E-2</v>
      </c>
      <c r="L1828" s="498">
        <f t="shared" ca="1" si="168"/>
        <v>307488</v>
      </c>
      <c r="M1828" s="524">
        <f t="shared" ca="1" si="169"/>
        <v>6.9817198951815623E-2</v>
      </c>
    </row>
    <row r="1829" spans="1:13" s="12" customFormat="1" hidden="1" x14ac:dyDescent="0.2">
      <c r="A1829" s="726"/>
      <c r="B1829" s="726"/>
      <c r="C1829" s="4" t="s">
        <v>280</v>
      </c>
      <c r="D1829" s="498">
        <f ca="1">SUMIF($B$1:D$1758,$C1829,D$1:D$1758)</f>
        <v>3592501</v>
      </c>
      <c r="E1829" s="498">
        <f ca="1">SUMIF($B$1:E$1758,$C1829,E$1:E$1758)</f>
        <v>51165</v>
      </c>
      <c r="F1829" s="498">
        <f ca="1">SUMIF($B$1:F$1758,$C1829,F$1:F$1758)</f>
        <v>63086</v>
      </c>
      <c r="G1829" s="498">
        <f ca="1">SUMIF($B$1:G$1758,$C1829,G$1:G$1758)</f>
        <v>18064</v>
      </c>
      <c r="H1829" s="498">
        <f t="shared" ca="1" si="170"/>
        <v>3724816</v>
      </c>
      <c r="I1829" s="498">
        <v>3737565</v>
      </c>
      <c r="J1829" s="498">
        <f t="shared" ca="1" si="166"/>
        <v>145064</v>
      </c>
      <c r="K1829" s="524">
        <f t="shared" ca="1" si="167"/>
        <v>4.0379668648665649E-2</v>
      </c>
      <c r="L1829" s="498">
        <f t="shared" ca="1" si="168"/>
        <v>12749</v>
      </c>
      <c r="M1829" s="524">
        <f t="shared" ca="1" si="169"/>
        <v>3.4227194041262709E-3</v>
      </c>
    </row>
    <row r="1830" spans="1:13" s="12" customFormat="1" hidden="1" x14ac:dyDescent="0.2">
      <c r="A1830" s="726"/>
      <c r="B1830" s="726"/>
      <c r="C1830" s="4" t="s">
        <v>281</v>
      </c>
      <c r="D1830" s="498">
        <f ca="1">SUMIF($B$1:D$1758,$C1830,D$1:D$1758)</f>
        <v>2304789</v>
      </c>
      <c r="E1830" s="498">
        <f ca="1">SUMIF($B$1:E$1758,$C1830,E$1:E$1758)</f>
        <v>13947</v>
      </c>
      <c r="F1830" s="498">
        <f ca="1">SUMIF($B$1:F$1758,$C1830,F$1:F$1758)</f>
        <v>-33467</v>
      </c>
      <c r="G1830" s="498">
        <f ca="1">SUMIF($B$1:G$1758,$C1830,G$1:G$1758)</f>
        <v>-5777</v>
      </c>
      <c r="H1830" s="498">
        <f t="shared" ca="1" si="170"/>
        <v>2279492</v>
      </c>
      <c r="I1830" s="498">
        <v>2301932</v>
      </c>
      <c r="J1830" s="498">
        <f t="shared" ca="1" si="166"/>
        <v>-2857</v>
      </c>
      <c r="K1830" s="524">
        <f t="shared" ca="1" si="167"/>
        <v>-1.2395928651169369E-3</v>
      </c>
      <c r="L1830" s="498">
        <f t="shared" ca="1" si="168"/>
        <v>22440</v>
      </c>
      <c r="M1830" s="524">
        <f t="shared" ca="1" si="169"/>
        <v>9.8442986419781248E-3</v>
      </c>
    </row>
    <row r="1831" spans="1:13" s="12" customFormat="1" hidden="1" x14ac:dyDescent="0.2">
      <c r="A1831" s="726"/>
      <c r="B1831" s="726"/>
      <c r="C1831" s="4" t="s">
        <v>282</v>
      </c>
      <c r="D1831" s="498">
        <f ca="1">SUMIF($B$1:D$1758,$C1831,D$1:D$1758)</f>
        <v>5647530</v>
      </c>
      <c r="E1831" s="498">
        <f ca="1">SUMIF($B$1:E$1758,$C1831,E$1:E$1758)</f>
        <v>68921</v>
      </c>
      <c r="F1831" s="498">
        <f ca="1">SUMIF($B$1:F$1758,$C1831,F$1:F$1758)</f>
        <v>213593</v>
      </c>
      <c r="G1831" s="498">
        <f ca="1">SUMIF($B$1:G$1758,$C1831,G$1:G$1758)</f>
        <v>41254</v>
      </c>
      <c r="H1831" s="498">
        <f t="shared" ca="1" si="170"/>
        <v>5971298</v>
      </c>
      <c r="I1831" s="498">
        <v>6430096</v>
      </c>
      <c r="J1831" s="498">
        <f t="shared" ca="1" si="166"/>
        <v>782566</v>
      </c>
      <c r="K1831" s="524">
        <f t="shared" ca="1" si="167"/>
        <v>0.13856783407967732</v>
      </c>
      <c r="L1831" s="498">
        <f t="shared" ca="1" si="168"/>
        <v>458798</v>
      </c>
      <c r="M1831" s="524">
        <f t="shared" ca="1" si="169"/>
        <v>7.6833881008785701E-2</v>
      </c>
    </row>
    <row r="1832" spans="1:13" s="12" customFormat="1" hidden="1" x14ac:dyDescent="0.2">
      <c r="A1832" s="726"/>
      <c r="B1832" s="726"/>
      <c r="C1832" s="467" t="s">
        <v>903</v>
      </c>
      <c r="D1832" s="173">
        <f ca="1">SUM(D1812:D1831)</f>
        <v>648019760</v>
      </c>
      <c r="E1832" s="173">
        <f ca="1">SUM(E1812:E1831)</f>
        <v>0</v>
      </c>
      <c r="F1832" s="173">
        <f ca="1">SUM(F1812:F1831)</f>
        <v>19041042</v>
      </c>
      <c r="G1832" s="173">
        <f ca="1">SUM(G1812:G1831)</f>
        <v>8232443</v>
      </c>
      <c r="H1832" s="173">
        <f t="shared" ca="1" si="170"/>
        <v>675293245</v>
      </c>
      <c r="I1832" s="173">
        <v>711255426</v>
      </c>
      <c r="J1832" s="173">
        <f t="shared" ca="1" si="166"/>
        <v>63235666</v>
      </c>
      <c r="K1832" s="528">
        <f t="shared" ca="1" si="167"/>
        <v>9.7582928644027775E-2</v>
      </c>
      <c r="L1832" s="173">
        <f t="shared" ca="1" si="168"/>
        <v>35962181</v>
      </c>
      <c r="M1832" s="528">
        <f t="shared" ca="1" si="169"/>
        <v>5.3254169601533625E-2</v>
      </c>
    </row>
    <row r="1833" spans="1:13" s="12" customFormat="1" hidden="1" x14ac:dyDescent="0.2">
      <c r="A1833" s="726"/>
      <c r="B1833" s="726"/>
      <c r="C1833" s="4" t="s">
        <v>892</v>
      </c>
      <c r="D1833" s="498">
        <f>D1743</f>
        <v>3000000</v>
      </c>
      <c r="E1833" s="498">
        <f>E1743</f>
        <v>0</v>
      </c>
      <c r="F1833" s="498">
        <f>F1743</f>
        <v>0</v>
      </c>
      <c r="G1833" s="498">
        <f>G1743</f>
        <v>-693225</v>
      </c>
      <c r="H1833" s="498">
        <f t="shared" si="170"/>
        <v>2306775</v>
      </c>
      <c r="I1833" s="498">
        <v>3000000</v>
      </c>
      <c r="J1833" s="498">
        <f t="shared" si="166"/>
        <v>0</v>
      </c>
      <c r="K1833" s="524">
        <f t="shared" si="167"/>
        <v>0</v>
      </c>
      <c r="L1833" s="498">
        <f t="shared" si="168"/>
        <v>693225</v>
      </c>
      <c r="M1833" s="524">
        <f t="shared" si="169"/>
        <v>0.30051695548980722</v>
      </c>
    </row>
    <row r="1834" spans="1:13" s="12" customFormat="1" hidden="1" x14ac:dyDescent="0.2">
      <c r="A1834" s="726"/>
      <c r="B1834" s="726"/>
      <c r="C1834" s="4" t="s">
        <v>904</v>
      </c>
      <c r="D1834" s="498">
        <f>D1746</f>
        <v>950000</v>
      </c>
      <c r="E1834" s="498">
        <f>E1746</f>
        <v>0</v>
      </c>
      <c r="F1834" s="498">
        <f>F1746</f>
        <v>-15980</v>
      </c>
      <c r="G1834" s="498">
        <f>G1746</f>
        <v>0</v>
      </c>
      <c r="H1834" s="498">
        <f t="shared" si="170"/>
        <v>934020</v>
      </c>
      <c r="I1834" s="498">
        <v>1000000</v>
      </c>
      <c r="J1834" s="498">
        <f t="shared" si="166"/>
        <v>50000</v>
      </c>
      <c r="K1834" s="524">
        <f t="shared" si="167"/>
        <v>5.2631578947368418E-2</v>
      </c>
      <c r="L1834" s="498">
        <f t="shared" si="168"/>
        <v>65980</v>
      </c>
      <c r="M1834" s="524">
        <f t="shared" si="169"/>
        <v>7.0640885634140602E-2</v>
      </c>
    </row>
    <row r="1835" spans="1:13" s="12" customFormat="1" hidden="1" x14ac:dyDescent="0.2">
      <c r="A1835" s="726"/>
      <c r="B1835" s="726"/>
      <c r="C1835" s="4" t="s">
        <v>894</v>
      </c>
      <c r="D1835" s="498">
        <f t="shared" ref="D1835:G1836" si="175">D1748</f>
        <v>750000</v>
      </c>
      <c r="E1835" s="498">
        <f t="shared" si="175"/>
        <v>0</v>
      </c>
      <c r="F1835" s="498">
        <f t="shared" si="175"/>
        <v>0</v>
      </c>
      <c r="G1835" s="498">
        <f t="shared" si="175"/>
        <v>-25447</v>
      </c>
      <c r="H1835" s="498">
        <f t="shared" si="170"/>
        <v>724553</v>
      </c>
      <c r="I1835" s="498">
        <v>1500000</v>
      </c>
      <c r="J1835" s="498">
        <f t="shared" si="166"/>
        <v>750000</v>
      </c>
      <c r="K1835" s="524">
        <f t="shared" si="167"/>
        <v>1</v>
      </c>
      <c r="L1835" s="498">
        <f t="shared" si="168"/>
        <v>775447</v>
      </c>
      <c r="M1835" s="524">
        <f t="shared" si="169"/>
        <v>1.0702419284717613</v>
      </c>
    </row>
    <row r="1836" spans="1:13" s="12" customFormat="1" hidden="1" x14ac:dyDescent="0.2">
      <c r="A1836" s="726"/>
      <c r="B1836" s="726"/>
      <c r="C1836" s="468" t="s">
        <v>895</v>
      </c>
      <c r="D1836" s="498">
        <f t="shared" si="175"/>
        <v>2000000</v>
      </c>
      <c r="E1836" s="498">
        <f t="shared" si="175"/>
        <v>0</v>
      </c>
      <c r="F1836" s="498">
        <f t="shared" si="175"/>
        <v>-951501</v>
      </c>
      <c r="G1836" s="498">
        <f t="shared" si="175"/>
        <v>0</v>
      </c>
      <c r="H1836" s="498">
        <f t="shared" si="170"/>
        <v>1048499</v>
      </c>
      <c r="I1836" s="498">
        <v>2000000</v>
      </c>
      <c r="J1836" s="498">
        <f t="shared" si="166"/>
        <v>0</v>
      </c>
      <c r="K1836" s="524">
        <f t="shared" si="167"/>
        <v>0</v>
      </c>
      <c r="L1836" s="498">
        <f t="shared" si="168"/>
        <v>951501</v>
      </c>
      <c r="M1836" s="524">
        <f t="shared" si="169"/>
        <v>0.9074887052825038</v>
      </c>
    </row>
    <row r="1837" spans="1:13" s="12" customFormat="1" hidden="1" x14ac:dyDescent="0.2">
      <c r="A1837" s="726"/>
      <c r="B1837" s="726"/>
      <c r="C1837" s="320" t="s">
        <v>896</v>
      </c>
      <c r="D1837" s="498">
        <f>D1751</f>
        <v>750000</v>
      </c>
      <c r="E1837" s="498">
        <f>E1751</f>
        <v>0</v>
      </c>
      <c r="F1837" s="498">
        <f>F1751</f>
        <v>-82458</v>
      </c>
      <c r="G1837" s="498">
        <f>G1751</f>
        <v>-27975</v>
      </c>
      <c r="H1837" s="498">
        <f t="shared" si="170"/>
        <v>639567</v>
      </c>
      <c r="I1837" s="498">
        <v>1500000</v>
      </c>
      <c r="J1837" s="498">
        <f t="shared" si="166"/>
        <v>750000</v>
      </c>
      <c r="K1837" s="524">
        <f t="shared" si="167"/>
        <v>1</v>
      </c>
      <c r="L1837" s="498">
        <f t="shared" si="168"/>
        <v>860433</v>
      </c>
      <c r="M1837" s="524">
        <f t="shared" si="169"/>
        <v>1.3453367669063601</v>
      </c>
    </row>
    <row r="1838" spans="1:13" ht="25.5" hidden="1" x14ac:dyDescent="0.2">
      <c r="A1838" s="726"/>
      <c r="B1838" s="726"/>
      <c r="C1838" s="512" t="s">
        <v>788</v>
      </c>
      <c r="D1838" s="498">
        <f>D1750</f>
        <v>1000000</v>
      </c>
      <c r="E1838" s="498">
        <f>E1750</f>
        <v>0</v>
      </c>
      <c r="F1838" s="498">
        <f>F1750</f>
        <v>1000000</v>
      </c>
      <c r="G1838" s="498">
        <f>G1750</f>
        <v>0</v>
      </c>
      <c r="H1838" s="498">
        <f t="shared" si="170"/>
        <v>2000000</v>
      </c>
      <c r="I1838" s="498">
        <v>1000000</v>
      </c>
      <c r="J1838" s="498">
        <f t="shared" si="166"/>
        <v>0</v>
      </c>
      <c r="K1838" s="524">
        <f t="shared" si="167"/>
        <v>0</v>
      </c>
      <c r="L1838" s="498">
        <f t="shared" si="168"/>
        <v>-1000000</v>
      </c>
      <c r="M1838" s="524">
        <f t="shared" si="169"/>
        <v>-0.5</v>
      </c>
    </row>
    <row r="1839" spans="1:13" hidden="1" x14ac:dyDescent="0.2">
      <c r="A1839" s="726"/>
      <c r="B1839" s="726"/>
      <c r="C1839" s="320" t="s">
        <v>1070</v>
      </c>
      <c r="D1839" s="498">
        <f>D1756</f>
        <v>0</v>
      </c>
      <c r="E1839" s="498">
        <f t="shared" ref="E1839:I1839" si="176">E1756</f>
        <v>0</v>
      </c>
      <c r="F1839" s="498">
        <f t="shared" si="176"/>
        <v>0</v>
      </c>
      <c r="G1839" s="498">
        <f t="shared" si="176"/>
        <v>2000000</v>
      </c>
      <c r="H1839" s="498">
        <f t="shared" si="176"/>
        <v>2000000</v>
      </c>
      <c r="I1839" s="498">
        <f t="shared" si="176"/>
        <v>0</v>
      </c>
      <c r="J1839" s="498">
        <f t="shared" ref="J1839" si="177">I1839-D1839</f>
        <v>0</v>
      </c>
      <c r="K1839" s="524"/>
      <c r="L1839" s="498">
        <f t="shared" ref="L1839" si="178">I1839-H1839</f>
        <v>-2000000</v>
      </c>
      <c r="M1839" s="524">
        <f t="shared" ref="M1839" si="179">L1839/H1839</f>
        <v>-1</v>
      </c>
    </row>
    <row r="1840" spans="1:13" hidden="1" x14ac:dyDescent="0.2">
      <c r="A1840" s="726"/>
      <c r="B1840" s="726"/>
      <c r="C1840" s="320" t="s">
        <v>832</v>
      </c>
      <c r="D1840" s="498">
        <f>D1754</f>
        <v>250000</v>
      </c>
      <c r="E1840" s="498">
        <f>E1754</f>
        <v>0</v>
      </c>
      <c r="F1840" s="498">
        <f>F1754</f>
        <v>0</v>
      </c>
      <c r="G1840" s="498">
        <f>G1754</f>
        <v>0</v>
      </c>
      <c r="H1840" s="498">
        <f t="shared" si="170"/>
        <v>250000</v>
      </c>
      <c r="I1840" s="498">
        <v>6430000</v>
      </c>
      <c r="J1840" s="498">
        <f t="shared" si="166"/>
        <v>6180000</v>
      </c>
      <c r="K1840" s="524">
        <f t="shared" si="167"/>
        <v>24.72</v>
      </c>
      <c r="L1840" s="498">
        <f t="shared" si="168"/>
        <v>6180000</v>
      </c>
      <c r="M1840" s="524">
        <f t="shared" si="169"/>
        <v>24.72</v>
      </c>
    </row>
    <row r="1841" spans="1:13" hidden="1" x14ac:dyDescent="0.2">
      <c r="A1841" s="726"/>
      <c r="B1841" s="726"/>
      <c r="C1841" s="4" t="s">
        <v>898</v>
      </c>
      <c r="D1841" s="498">
        <f>D1758</f>
        <v>19000000</v>
      </c>
      <c r="E1841" s="498">
        <f>E1758</f>
        <v>0</v>
      </c>
      <c r="F1841" s="498">
        <f>F1758</f>
        <v>0</v>
      </c>
      <c r="G1841" s="498">
        <f>G1758</f>
        <v>0</v>
      </c>
      <c r="H1841" s="498">
        <f t="shared" si="170"/>
        <v>19000000</v>
      </c>
      <c r="I1841" s="498">
        <v>19000000</v>
      </c>
      <c r="J1841" s="498">
        <f t="shared" si="166"/>
        <v>0</v>
      </c>
      <c r="K1841" s="524">
        <f t="shared" si="167"/>
        <v>0</v>
      </c>
      <c r="L1841" s="498">
        <f t="shared" si="168"/>
        <v>0</v>
      </c>
      <c r="M1841" s="524">
        <f t="shared" si="169"/>
        <v>0</v>
      </c>
    </row>
    <row r="1842" spans="1:13" hidden="1" x14ac:dyDescent="0.2">
      <c r="C1842" s="467" t="s">
        <v>52</v>
      </c>
      <c r="D1842" s="173">
        <f ca="1">SUM(D1832:D1841)</f>
        <v>675719760</v>
      </c>
      <c r="E1842" s="173">
        <f t="shared" ref="E1842" ca="1" si="180">SUM(E1832:E1841)</f>
        <v>0</v>
      </c>
      <c r="F1842" s="173">
        <f t="shared" ref="F1842:G1842" ca="1" si="181">SUM(F1832:F1841)</f>
        <v>18991103</v>
      </c>
      <c r="G1842" s="173">
        <f t="shared" ca="1" si="181"/>
        <v>9485796</v>
      </c>
      <c r="H1842" s="173">
        <f t="shared" ca="1" si="170"/>
        <v>704196659</v>
      </c>
      <c r="I1842" s="173">
        <v>746685426</v>
      </c>
      <c r="J1842" s="173">
        <f t="shared" ca="1" si="166"/>
        <v>70965666</v>
      </c>
      <c r="K1842" s="528">
        <f t="shared" ca="1" si="167"/>
        <v>0.10502233351885402</v>
      </c>
      <c r="L1842" s="173">
        <f t="shared" ca="1" si="168"/>
        <v>42488767</v>
      </c>
      <c r="M1842" s="528">
        <f t="shared" ca="1" si="169"/>
        <v>6.0336507503935773E-2</v>
      </c>
    </row>
    <row r="1843" spans="1:13" hidden="1" x14ac:dyDescent="0.2">
      <c r="C1843" s="4"/>
      <c r="D1843" s="487">
        <f ca="1">D1842-D1760</f>
        <v>0</v>
      </c>
      <c r="E1843" s="487">
        <f ca="1">E1842-E1760</f>
        <v>0</v>
      </c>
      <c r="F1843" s="487">
        <f ca="1">F1842-F1760</f>
        <v>0</v>
      </c>
      <c r="G1843" s="487">
        <f ca="1">G1842-G1760</f>
        <v>0</v>
      </c>
      <c r="H1843" s="487">
        <f t="shared" ca="1" si="170"/>
        <v>0</v>
      </c>
      <c r="I1843" s="487">
        <v>0</v>
      </c>
      <c r="J1843" s="487">
        <f t="shared" ca="1" si="166"/>
        <v>0</v>
      </c>
      <c r="K1843" s="970"/>
      <c r="L1843" s="487">
        <f t="shared" ca="1" si="168"/>
        <v>0</v>
      </c>
      <c r="M1843" s="970" t="e">
        <f t="shared" ca="1" si="169"/>
        <v>#DIV/0!</v>
      </c>
    </row>
    <row r="1844" spans="1:13" hidden="1" x14ac:dyDescent="0.2">
      <c r="C1844" s="470" t="s">
        <v>905</v>
      </c>
      <c r="D1844" s="487"/>
      <c r="E1844" s="487"/>
      <c r="F1844" s="487"/>
      <c r="G1844" s="487"/>
      <c r="H1844" s="487">
        <f t="shared" si="170"/>
        <v>0</v>
      </c>
      <c r="I1844" s="487">
        <v>0</v>
      </c>
      <c r="J1844" s="487">
        <f t="shared" si="166"/>
        <v>0</v>
      </c>
      <c r="K1844" s="970"/>
      <c r="L1844" s="487">
        <f t="shared" si="168"/>
        <v>0</v>
      </c>
      <c r="M1844" s="970"/>
    </row>
    <row r="1845" spans="1:13" hidden="1" x14ac:dyDescent="0.2">
      <c r="C1845" s="4" t="s">
        <v>861</v>
      </c>
      <c r="D1845" s="498">
        <f>D11</f>
        <v>2601532</v>
      </c>
      <c r="E1845" s="498">
        <f>E11</f>
        <v>0</v>
      </c>
      <c r="F1845" s="498">
        <f>F11</f>
        <v>-15426</v>
      </c>
      <c r="G1845" s="498">
        <f>G11</f>
        <v>19202</v>
      </c>
      <c r="H1845" s="498">
        <f t="shared" si="170"/>
        <v>2605308</v>
      </c>
      <c r="I1845" s="498">
        <v>2779249</v>
      </c>
      <c r="J1845" s="498">
        <f t="shared" si="166"/>
        <v>177717</v>
      </c>
      <c r="K1845" s="524">
        <f t="shared" si="167"/>
        <v>6.8312440515819139E-2</v>
      </c>
      <c r="L1845" s="498">
        <f t="shared" si="168"/>
        <v>173941</v>
      </c>
      <c r="M1845" s="524">
        <f t="shared" si="169"/>
        <v>6.6764083171740152E-2</v>
      </c>
    </row>
    <row r="1846" spans="1:13" hidden="1" x14ac:dyDescent="0.2">
      <c r="C1846" s="4" t="s">
        <v>194</v>
      </c>
      <c r="D1846" s="498">
        <f>D31</f>
        <v>6917253</v>
      </c>
      <c r="E1846" s="498">
        <f>E31</f>
        <v>0</v>
      </c>
      <c r="F1846" s="498">
        <f>F31</f>
        <v>266199</v>
      </c>
      <c r="G1846" s="498">
        <f>G31</f>
        <v>382138</v>
      </c>
      <c r="H1846" s="498">
        <f t="shared" si="170"/>
        <v>7565590</v>
      </c>
      <c r="I1846" s="498">
        <v>7144817</v>
      </c>
      <c r="J1846" s="498">
        <f t="shared" si="166"/>
        <v>227564</v>
      </c>
      <c r="K1846" s="524">
        <f t="shared" si="167"/>
        <v>3.289803047539247E-2</v>
      </c>
      <c r="L1846" s="498">
        <f t="shared" si="168"/>
        <v>-420773</v>
      </c>
      <c r="M1846" s="524">
        <f t="shared" si="169"/>
        <v>-5.561668025890909E-2</v>
      </c>
    </row>
    <row r="1847" spans="1:13" hidden="1" x14ac:dyDescent="0.2">
      <c r="C1847" s="6" t="s">
        <v>792</v>
      </c>
      <c r="D1847" s="498">
        <f>D80</f>
        <v>35229428</v>
      </c>
      <c r="E1847" s="498">
        <f>E80</f>
        <v>0</v>
      </c>
      <c r="F1847" s="498">
        <f>F80</f>
        <v>886949</v>
      </c>
      <c r="G1847" s="498">
        <f>G80</f>
        <v>-362495</v>
      </c>
      <c r="H1847" s="498">
        <f t="shared" si="170"/>
        <v>35753882</v>
      </c>
      <c r="I1847" s="498">
        <v>40066442</v>
      </c>
      <c r="J1847" s="498">
        <f t="shared" si="166"/>
        <v>4837014</v>
      </c>
      <c r="K1847" s="524">
        <f t="shared" si="167"/>
        <v>0.13730038421288021</v>
      </c>
      <c r="L1847" s="498">
        <f t="shared" si="168"/>
        <v>4312560</v>
      </c>
      <c r="M1847" s="524">
        <f t="shared" si="169"/>
        <v>0.12061795135979919</v>
      </c>
    </row>
    <row r="1848" spans="1:13" hidden="1" x14ac:dyDescent="0.2">
      <c r="C1848" s="4" t="s">
        <v>195</v>
      </c>
      <c r="D1848" s="498">
        <f>D302</f>
        <v>1588380</v>
      </c>
      <c r="E1848" s="498">
        <f>E302</f>
        <v>0</v>
      </c>
      <c r="F1848" s="498">
        <f>F302</f>
        <v>118055</v>
      </c>
      <c r="G1848" s="498">
        <f>G302</f>
        <v>5620</v>
      </c>
      <c r="H1848" s="498">
        <f t="shared" si="170"/>
        <v>1712055</v>
      </c>
      <c r="I1848" s="498">
        <v>1604247</v>
      </c>
      <c r="J1848" s="498">
        <f t="shared" si="166"/>
        <v>15867</v>
      </c>
      <c r="K1848" s="524">
        <f t="shared" si="167"/>
        <v>9.9894231858875075E-3</v>
      </c>
      <c r="L1848" s="498">
        <f t="shared" si="168"/>
        <v>-107808</v>
      </c>
      <c r="M1848" s="524">
        <f t="shared" si="169"/>
        <v>-6.2969939633948674E-2</v>
      </c>
    </row>
    <row r="1849" spans="1:13" hidden="1" x14ac:dyDescent="0.2">
      <c r="C1849" s="4" t="s">
        <v>120</v>
      </c>
      <c r="D1849" s="498">
        <f>D322</f>
        <v>133228663</v>
      </c>
      <c r="E1849" s="498">
        <f>E322</f>
        <v>0</v>
      </c>
      <c r="F1849" s="498">
        <f>F322</f>
        <v>5734596</v>
      </c>
      <c r="G1849" s="498">
        <f>G322</f>
        <v>135758</v>
      </c>
      <c r="H1849" s="498">
        <f t="shared" si="170"/>
        <v>139099017</v>
      </c>
      <c r="I1849" s="498">
        <v>142683445</v>
      </c>
      <c r="J1849" s="498">
        <f t="shared" si="166"/>
        <v>9454782</v>
      </c>
      <c r="K1849" s="524">
        <f t="shared" si="167"/>
        <v>7.0966575713515945E-2</v>
      </c>
      <c r="L1849" s="498">
        <f t="shared" si="168"/>
        <v>3584428</v>
      </c>
      <c r="M1849" s="524">
        <f t="shared" si="169"/>
        <v>2.5768895261136172E-2</v>
      </c>
    </row>
    <row r="1850" spans="1:13" hidden="1" x14ac:dyDescent="0.2">
      <c r="C1850" s="4" t="s">
        <v>783</v>
      </c>
      <c r="D1850" s="498">
        <f>D454</f>
        <v>25377360</v>
      </c>
      <c r="E1850" s="498">
        <f>E454</f>
        <v>0</v>
      </c>
      <c r="F1850" s="498">
        <f>F454</f>
        <v>1723925</v>
      </c>
      <c r="G1850" s="498">
        <f>G454</f>
        <v>-405560</v>
      </c>
      <c r="H1850" s="498">
        <f t="shared" si="170"/>
        <v>26695725</v>
      </c>
      <c r="I1850" s="498">
        <v>25528250</v>
      </c>
      <c r="J1850" s="498">
        <f t="shared" si="166"/>
        <v>150890</v>
      </c>
      <c r="K1850" s="524">
        <f t="shared" si="167"/>
        <v>5.94585094745868E-3</v>
      </c>
      <c r="L1850" s="498">
        <f t="shared" si="168"/>
        <v>-1167475</v>
      </c>
      <c r="M1850" s="524">
        <f t="shared" si="169"/>
        <v>-4.3732657569704514E-2</v>
      </c>
    </row>
    <row r="1851" spans="1:13" hidden="1" x14ac:dyDescent="0.2">
      <c r="C1851" s="4"/>
      <c r="D1851" s="498"/>
      <c r="E1851" s="498"/>
      <c r="F1851" s="498"/>
      <c r="G1851" s="498"/>
      <c r="H1851" s="498">
        <f t="shared" si="170"/>
        <v>0</v>
      </c>
      <c r="I1851" s="498">
        <v>0</v>
      </c>
      <c r="J1851" s="498">
        <f t="shared" si="166"/>
        <v>0</v>
      </c>
      <c r="K1851" s="524"/>
      <c r="L1851" s="498">
        <f t="shared" si="168"/>
        <v>0</v>
      </c>
      <c r="M1851" s="524"/>
    </row>
    <row r="1852" spans="1:13" hidden="1" x14ac:dyDescent="0.2">
      <c r="C1852" s="4" t="s">
        <v>202</v>
      </c>
      <c r="D1852" s="498">
        <f>D624</f>
        <v>44223100</v>
      </c>
      <c r="E1852" s="498">
        <f>E624</f>
        <v>-446520</v>
      </c>
      <c r="F1852" s="498">
        <f>F624</f>
        <v>3005029</v>
      </c>
      <c r="G1852" s="498">
        <f>G624</f>
        <v>2017419</v>
      </c>
      <c r="H1852" s="498">
        <f t="shared" si="170"/>
        <v>48799028</v>
      </c>
      <c r="I1852" s="498">
        <v>52834591</v>
      </c>
      <c r="J1852" s="498">
        <f t="shared" ref="J1852:J1916" si="182">I1852-D1852</f>
        <v>8611491</v>
      </c>
      <c r="K1852" s="524">
        <f t="shared" ref="K1852:K1916" si="183">J1852/D1852</f>
        <v>0.19472834333187858</v>
      </c>
      <c r="L1852" s="498">
        <f t="shared" ref="L1852:L1916" si="184">I1852-H1852</f>
        <v>4035563</v>
      </c>
      <c r="M1852" s="524">
        <f t="shared" ref="M1852:M1916" si="185">L1852/H1852</f>
        <v>8.2697610288467227E-2</v>
      </c>
    </row>
    <row r="1853" spans="1:13" hidden="1" x14ac:dyDescent="0.2">
      <c r="C1853" s="6" t="s">
        <v>873</v>
      </c>
      <c r="D1853" s="498">
        <f>D924</f>
        <v>17844631</v>
      </c>
      <c r="E1853" s="498">
        <f>E924</f>
        <v>0</v>
      </c>
      <c r="F1853" s="498">
        <f>F924</f>
        <v>867878</v>
      </c>
      <c r="G1853" s="498">
        <f>G924</f>
        <v>164856</v>
      </c>
      <c r="H1853" s="498">
        <f t="shared" si="170"/>
        <v>18877365</v>
      </c>
      <c r="I1853" s="498">
        <v>20575628</v>
      </c>
      <c r="J1853" s="498">
        <f t="shared" si="182"/>
        <v>2730997</v>
      </c>
      <c r="K1853" s="524">
        <f t="shared" si="183"/>
        <v>0.15304306376523</v>
      </c>
      <c r="L1853" s="498">
        <f t="shared" si="184"/>
        <v>1698263</v>
      </c>
      <c r="M1853" s="524">
        <f t="shared" si="185"/>
        <v>8.9962926499540588E-2</v>
      </c>
    </row>
    <row r="1854" spans="1:13" hidden="1" x14ac:dyDescent="0.2">
      <c r="C1854" s="4"/>
      <c r="D1854" s="498"/>
      <c r="E1854" s="498"/>
      <c r="F1854" s="498"/>
      <c r="G1854" s="498"/>
      <c r="H1854" s="498">
        <f t="shared" si="170"/>
        <v>0</v>
      </c>
      <c r="I1854" s="498">
        <v>0</v>
      </c>
      <c r="J1854" s="498">
        <f t="shared" si="182"/>
        <v>0</v>
      </c>
      <c r="K1854" s="524"/>
      <c r="L1854" s="498">
        <f t="shared" si="184"/>
        <v>0</v>
      </c>
      <c r="M1854" s="524"/>
    </row>
    <row r="1855" spans="1:13" hidden="1" x14ac:dyDescent="0.2">
      <c r="C1855" s="6" t="s">
        <v>875</v>
      </c>
      <c r="D1855" s="498">
        <f>D977</f>
        <v>88720476</v>
      </c>
      <c r="E1855" s="498">
        <f>E977</f>
        <v>0</v>
      </c>
      <c r="F1855" s="498">
        <f>F977</f>
        <v>4975727</v>
      </c>
      <c r="G1855" s="498">
        <f>G977</f>
        <v>-5407</v>
      </c>
      <c r="H1855" s="498">
        <f t="shared" si="170"/>
        <v>93690796</v>
      </c>
      <c r="I1855" s="498">
        <v>109426774</v>
      </c>
      <c r="J1855" s="498">
        <f t="shared" si="182"/>
        <v>20706298</v>
      </c>
      <c r="K1855" s="524">
        <f t="shared" si="183"/>
        <v>0.23338803998301361</v>
      </c>
      <c r="L1855" s="498">
        <f t="shared" si="184"/>
        <v>15735978</v>
      </c>
      <c r="M1855" s="524">
        <f t="shared" si="185"/>
        <v>0.16795649809614169</v>
      </c>
    </row>
    <row r="1856" spans="1:13" hidden="1" x14ac:dyDescent="0.2">
      <c r="C1856" s="6" t="s">
        <v>876</v>
      </c>
      <c r="D1856" s="498">
        <f>D1070</f>
        <v>54500551</v>
      </c>
      <c r="E1856" s="498">
        <f>E1070</f>
        <v>0</v>
      </c>
      <c r="F1856" s="498">
        <f>F1070</f>
        <v>3135562</v>
      </c>
      <c r="G1856" s="498">
        <f>G1070</f>
        <v>6006590</v>
      </c>
      <c r="H1856" s="498">
        <f t="shared" si="170"/>
        <v>63642703</v>
      </c>
      <c r="I1856" s="498">
        <v>59672312</v>
      </c>
      <c r="J1856" s="498">
        <f t="shared" si="182"/>
        <v>5171761</v>
      </c>
      <c r="K1856" s="524">
        <f t="shared" si="183"/>
        <v>9.4893737863310776E-2</v>
      </c>
      <c r="L1856" s="498">
        <f t="shared" si="184"/>
        <v>-3970391</v>
      </c>
      <c r="M1856" s="524">
        <f t="shared" si="185"/>
        <v>-6.2385643802715295E-2</v>
      </c>
    </row>
    <row r="1857" spans="1:13" hidden="1" x14ac:dyDescent="0.2">
      <c r="C1857" s="4" t="s">
        <v>901</v>
      </c>
      <c r="D1857" s="498">
        <f>D1187</f>
        <v>4799486</v>
      </c>
      <c r="E1857" s="498">
        <f>E1187</f>
        <v>0</v>
      </c>
      <c r="F1857" s="498">
        <f>F1187</f>
        <v>334541</v>
      </c>
      <c r="G1857" s="498">
        <f>G1187</f>
        <v>-12610</v>
      </c>
      <c r="H1857" s="498">
        <f t="shared" si="170"/>
        <v>5121417</v>
      </c>
      <c r="I1857" s="498">
        <v>4553925</v>
      </c>
      <c r="J1857" s="498">
        <f t="shared" si="182"/>
        <v>-245561</v>
      </c>
      <c r="K1857" s="524">
        <f t="shared" si="183"/>
        <v>-5.1164020480526456E-2</v>
      </c>
      <c r="L1857" s="498">
        <f t="shared" si="184"/>
        <v>-567492</v>
      </c>
      <c r="M1857" s="524">
        <f t="shared" si="185"/>
        <v>-0.11080761437703666</v>
      </c>
    </row>
    <row r="1858" spans="1:13" hidden="1" x14ac:dyDescent="0.2">
      <c r="C1858" s="4" t="s">
        <v>902</v>
      </c>
      <c r="D1858" s="498">
        <f>D1208</f>
        <v>4973896</v>
      </c>
      <c r="E1858" s="498">
        <f>E1208</f>
        <v>0</v>
      </c>
      <c r="F1858" s="498">
        <f>F1208</f>
        <v>236436</v>
      </c>
      <c r="G1858" s="498">
        <f>G1208</f>
        <v>-65087</v>
      </c>
      <c r="H1858" s="498">
        <f t="shared" ref="H1858:H1922" si="186">D1858+E1858+F1858+G1858</f>
        <v>5145245</v>
      </c>
      <c r="I1858" s="498">
        <v>6191454</v>
      </c>
      <c r="J1858" s="498">
        <f t="shared" si="182"/>
        <v>1217558</v>
      </c>
      <c r="K1858" s="524">
        <f t="shared" si="183"/>
        <v>0.24478959753078874</v>
      </c>
      <c r="L1858" s="498">
        <f t="shared" si="184"/>
        <v>1046209</v>
      </c>
      <c r="M1858" s="524">
        <f t="shared" si="185"/>
        <v>0.20333511815277991</v>
      </c>
    </row>
    <row r="1859" spans="1:13" hidden="1" x14ac:dyDescent="0.2">
      <c r="C1859" s="4" t="s">
        <v>270</v>
      </c>
      <c r="D1859" s="498">
        <f>D1233</f>
        <v>2114909</v>
      </c>
      <c r="E1859" s="498">
        <f>E1233</f>
        <v>37326</v>
      </c>
      <c r="F1859" s="498">
        <f>F1233</f>
        <v>24866</v>
      </c>
      <c r="G1859" s="498">
        <f>G1233</f>
        <v>12592</v>
      </c>
      <c r="H1859" s="498">
        <f t="shared" si="186"/>
        <v>2189693</v>
      </c>
      <c r="I1859" s="498">
        <v>2204434</v>
      </c>
      <c r="J1859" s="498">
        <f t="shared" si="182"/>
        <v>89525</v>
      </c>
      <c r="K1859" s="524">
        <f t="shared" si="183"/>
        <v>4.2330426510076791E-2</v>
      </c>
      <c r="L1859" s="498">
        <f t="shared" si="184"/>
        <v>14741</v>
      </c>
      <c r="M1859" s="524">
        <f t="shared" si="185"/>
        <v>6.7319939370496231E-3</v>
      </c>
    </row>
    <row r="1860" spans="1:13" hidden="1" x14ac:dyDescent="0.2">
      <c r="C1860" s="4" t="s">
        <v>468</v>
      </c>
      <c r="D1860" s="498">
        <f>D1290</f>
        <v>1497267</v>
      </c>
      <c r="E1860" s="498">
        <f>E1290</f>
        <v>49486</v>
      </c>
      <c r="F1860" s="498">
        <f>F1290</f>
        <v>1469654</v>
      </c>
      <c r="G1860" s="498">
        <f>G1290</f>
        <v>659528</v>
      </c>
      <c r="H1860" s="498">
        <f t="shared" si="186"/>
        <v>3675935</v>
      </c>
      <c r="I1860" s="498">
        <v>1876486</v>
      </c>
      <c r="J1860" s="498">
        <f t="shared" si="182"/>
        <v>379219</v>
      </c>
      <c r="K1860" s="524">
        <f t="shared" si="183"/>
        <v>0.25327413213541738</v>
      </c>
      <c r="L1860" s="498">
        <f t="shared" si="184"/>
        <v>-1799449</v>
      </c>
      <c r="M1860" s="524">
        <f t="shared" si="185"/>
        <v>-0.48952144148359533</v>
      </c>
    </row>
    <row r="1861" spans="1:13" hidden="1" x14ac:dyDescent="0.2">
      <c r="C1861" s="4" t="s">
        <v>277</v>
      </c>
      <c r="D1861" s="498">
        <f>D1373</f>
        <v>2326512</v>
      </c>
      <c r="E1861" s="498">
        <f>E1373</f>
        <v>53499</v>
      </c>
      <c r="F1861" s="498">
        <f>F1373</f>
        <v>42768</v>
      </c>
      <c r="G1861" s="498">
        <f>G1373</f>
        <v>15479</v>
      </c>
      <c r="H1861" s="498">
        <f t="shared" si="186"/>
        <v>2438258</v>
      </c>
      <c r="I1861" s="498">
        <v>2508383</v>
      </c>
      <c r="J1861" s="498">
        <f t="shared" si="182"/>
        <v>181871</v>
      </c>
      <c r="K1861" s="524">
        <f t="shared" si="183"/>
        <v>7.8173248193003086E-2</v>
      </c>
      <c r="L1861" s="498">
        <f t="shared" si="184"/>
        <v>70125</v>
      </c>
      <c r="M1861" s="524">
        <f t="shared" si="185"/>
        <v>2.8760287057399175E-2</v>
      </c>
    </row>
    <row r="1862" spans="1:13" hidden="1" x14ac:dyDescent="0.2">
      <c r="C1862" s="4" t="s">
        <v>278</v>
      </c>
      <c r="D1862" s="498">
        <f>D1425</f>
        <v>5448196</v>
      </c>
      <c r="E1862" s="498">
        <f>E1425</f>
        <v>114924</v>
      </c>
      <c r="F1862" s="498">
        <f>F1425</f>
        <v>120273</v>
      </c>
      <c r="G1862" s="498">
        <f>G1425</f>
        <v>44771</v>
      </c>
      <c r="H1862" s="498">
        <f t="shared" si="186"/>
        <v>5728164</v>
      </c>
      <c r="I1862" s="498">
        <v>5759473</v>
      </c>
      <c r="J1862" s="498">
        <f t="shared" si="182"/>
        <v>311277</v>
      </c>
      <c r="K1862" s="524">
        <f t="shared" si="183"/>
        <v>5.713395773573491E-2</v>
      </c>
      <c r="L1862" s="498">
        <f t="shared" si="184"/>
        <v>31309</v>
      </c>
      <c r="M1862" s="524">
        <f t="shared" si="185"/>
        <v>5.4658002110274774E-3</v>
      </c>
    </row>
    <row r="1863" spans="1:13" hidden="1" x14ac:dyDescent="0.2">
      <c r="C1863" s="4" t="s">
        <v>279</v>
      </c>
      <c r="D1863" s="498">
        <f>D1496</f>
        <v>3495795</v>
      </c>
      <c r="E1863" s="498">
        <f>E1496</f>
        <v>57252</v>
      </c>
      <c r="F1863" s="498">
        <f>F1496</f>
        <v>35681</v>
      </c>
      <c r="G1863" s="498">
        <f>G1496</f>
        <v>54186</v>
      </c>
      <c r="H1863" s="498">
        <f t="shared" si="186"/>
        <v>3642914</v>
      </c>
      <c r="I1863" s="498">
        <v>3849400</v>
      </c>
      <c r="J1863" s="498">
        <f t="shared" si="182"/>
        <v>353605</v>
      </c>
      <c r="K1863" s="524">
        <f t="shared" si="183"/>
        <v>0.10115152633378101</v>
      </c>
      <c r="L1863" s="498">
        <f t="shared" si="184"/>
        <v>206486</v>
      </c>
      <c r="M1863" s="524">
        <f t="shared" si="185"/>
        <v>5.6681546695859411E-2</v>
      </c>
    </row>
    <row r="1864" spans="1:13" hidden="1" x14ac:dyDescent="0.2">
      <c r="C1864" s="4" t="s">
        <v>280</v>
      </c>
      <c r="D1864" s="498">
        <f>D1558</f>
        <v>2823306</v>
      </c>
      <c r="E1864" s="498">
        <f>E1558</f>
        <v>51165</v>
      </c>
      <c r="F1864" s="498">
        <f>F1558</f>
        <v>166286</v>
      </c>
      <c r="G1864" s="498">
        <f>G1558</f>
        <v>39543</v>
      </c>
      <c r="H1864" s="498">
        <f t="shared" si="186"/>
        <v>3080300</v>
      </c>
      <c r="I1864" s="498">
        <v>2964910</v>
      </c>
      <c r="J1864" s="498">
        <f t="shared" si="182"/>
        <v>141604</v>
      </c>
      <c r="K1864" s="524">
        <f t="shared" si="183"/>
        <v>5.0155385211521526E-2</v>
      </c>
      <c r="L1864" s="498">
        <f t="shared" si="184"/>
        <v>-115390</v>
      </c>
      <c r="M1864" s="524">
        <f t="shared" si="185"/>
        <v>-3.7460636950946334E-2</v>
      </c>
    </row>
    <row r="1865" spans="1:13" hidden="1" x14ac:dyDescent="0.2">
      <c r="C1865" s="4" t="s">
        <v>281</v>
      </c>
      <c r="D1865" s="498">
        <f>D1629</f>
        <v>2020244</v>
      </c>
      <c r="E1865" s="498">
        <f>E1629</f>
        <v>13947</v>
      </c>
      <c r="F1865" s="498">
        <f>F1629</f>
        <v>9073</v>
      </c>
      <c r="G1865" s="498">
        <f>G1629</f>
        <v>11273</v>
      </c>
      <c r="H1865" s="498">
        <f t="shared" si="186"/>
        <v>2054537</v>
      </c>
      <c r="I1865" s="498">
        <v>2032992</v>
      </c>
      <c r="J1865" s="498">
        <f t="shared" si="182"/>
        <v>12748</v>
      </c>
      <c r="K1865" s="524">
        <f t="shared" si="183"/>
        <v>6.3101288755219665E-3</v>
      </c>
      <c r="L1865" s="498">
        <f t="shared" si="184"/>
        <v>-21545</v>
      </c>
      <c r="M1865" s="524">
        <f t="shared" si="185"/>
        <v>-1.0486547577386049E-2</v>
      </c>
    </row>
    <row r="1866" spans="1:13" hidden="1" x14ac:dyDescent="0.2">
      <c r="C1866" s="4" t="s">
        <v>282</v>
      </c>
      <c r="D1866" s="498">
        <f>D1682</f>
        <v>4323746</v>
      </c>
      <c r="E1866" s="498">
        <f>E1682</f>
        <v>68921</v>
      </c>
      <c r="F1866" s="498">
        <f>F1682</f>
        <v>301423</v>
      </c>
      <c r="G1866" s="498">
        <f>G1682</f>
        <v>15280</v>
      </c>
      <c r="H1866" s="498">
        <f t="shared" si="186"/>
        <v>4709370</v>
      </c>
      <c r="I1866" s="498">
        <v>4905983</v>
      </c>
      <c r="J1866" s="498">
        <f t="shared" si="182"/>
        <v>582237</v>
      </c>
      <c r="K1866" s="524">
        <f t="shared" si="183"/>
        <v>0.13466031538392867</v>
      </c>
      <c r="L1866" s="498">
        <f t="shared" si="184"/>
        <v>196613</v>
      </c>
      <c r="M1866" s="524">
        <f t="shared" si="185"/>
        <v>4.1749321034448346E-2</v>
      </c>
    </row>
    <row r="1867" spans="1:13" hidden="1" x14ac:dyDescent="0.2">
      <c r="C1867" s="467" t="s">
        <v>903</v>
      </c>
      <c r="D1867" s="173">
        <f>SUM(D1845:D1866)</f>
        <v>444054731</v>
      </c>
      <c r="E1867" s="173">
        <f t="shared" ref="E1867" si="187">SUM(E1845:E1866)</f>
        <v>0</v>
      </c>
      <c r="F1867" s="173">
        <f t="shared" ref="F1867:G1867" si="188">SUM(F1845:F1866)</f>
        <v>23439495</v>
      </c>
      <c r="G1867" s="173">
        <f t="shared" si="188"/>
        <v>8733076</v>
      </c>
      <c r="H1867" s="173">
        <f t="shared" si="186"/>
        <v>476227302</v>
      </c>
      <c r="I1867" s="173">
        <v>499163195</v>
      </c>
      <c r="J1867" s="173">
        <f t="shared" si="182"/>
        <v>55108464</v>
      </c>
      <c r="K1867" s="528">
        <f t="shared" si="183"/>
        <v>0.12410286424805594</v>
      </c>
      <c r="L1867" s="173">
        <f t="shared" si="184"/>
        <v>22935893</v>
      </c>
      <c r="M1867" s="528">
        <f t="shared" si="185"/>
        <v>4.8161650757268006E-2</v>
      </c>
    </row>
    <row r="1868" spans="1:13" hidden="1" x14ac:dyDescent="0.2">
      <c r="C1868" s="4" t="s">
        <v>892</v>
      </c>
      <c r="D1868" s="498">
        <f>D1743</f>
        <v>3000000</v>
      </c>
      <c r="E1868" s="498">
        <f>E1743</f>
        <v>0</v>
      </c>
      <c r="F1868" s="498">
        <f>F1743</f>
        <v>0</v>
      </c>
      <c r="G1868" s="498">
        <f>G1743</f>
        <v>-693225</v>
      </c>
      <c r="H1868" s="498">
        <f t="shared" si="186"/>
        <v>2306775</v>
      </c>
      <c r="I1868" s="498">
        <v>3000000</v>
      </c>
      <c r="J1868" s="498">
        <f t="shared" si="182"/>
        <v>0</v>
      </c>
      <c r="K1868" s="524">
        <f t="shared" si="183"/>
        <v>0</v>
      </c>
      <c r="L1868" s="498">
        <f t="shared" si="184"/>
        <v>693225</v>
      </c>
      <c r="M1868" s="524">
        <f t="shared" si="185"/>
        <v>0.30051695548980722</v>
      </c>
    </row>
    <row r="1869" spans="1:13" s="56" customFormat="1" hidden="1" x14ac:dyDescent="0.2">
      <c r="A1869" s="503"/>
      <c r="B1869" s="503"/>
      <c r="C1869" s="4" t="s">
        <v>904</v>
      </c>
      <c r="D1869" s="498">
        <f>D1746</f>
        <v>950000</v>
      </c>
      <c r="E1869" s="498">
        <f>E1746</f>
        <v>0</v>
      </c>
      <c r="F1869" s="498">
        <f>F1746</f>
        <v>-15980</v>
      </c>
      <c r="G1869" s="498">
        <f>G1746</f>
        <v>0</v>
      </c>
      <c r="H1869" s="498">
        <f t="shared" si="186"/>
        <v>934020</v>
      </c>
      <c r="I1869" s="498">
        <v>1000000</v>
      </c>
      <c r="J1869" s="498">
        <f t="shared" si="182"/>
        <v>50000</v>
      </c>
      <c r="K1869" s="524">
        <f t="shared" si="183"/>
        <v>5.2631578947368418E-2</v>
      </c>
      <c r="L1869" s="498">
        <f t="shared" si="184"/>
        <v>65980</v>
      </c>
      <c r="M1869" s="524">
        <f t="shared" si="185"/>
        <v>7.0640885634140602E-2</v>
      </c>
    </row>
    <row r="1870" spans="1:13" s="486" customFormat="1" hidden="1" x14ac:dyDescent="0.2">
      <c r="A1870" s="503"/>
      <c r="B1870" s="503"/>
      <c r="C1870" s="4" t="s">
        <v>894</v>
      </c>
      <c r="D1870" s="498">
        <f t="shared" ref="D1870:G1871" si="189">D1748</f>
        <v>750000</v>
      </c>
      <c r="E1870" s="498">
        <f t="shared" si="189"/>
        <v>0</v>
      </c>
      <c r="F1870" s="498">
        <f t="shared" si="189"/>
        <v>0</v>
      </c>
      <c r="G1870" s="498">
        <f t="shared" si="189"/>
        <v>-25447</v>
      </c>
      <c r="H1870" s="498">
        <f t="shared" si="186"/>
        <v>724553</v>
      </c>
      <c r="I1870" s="498">
        <v>1500000</v>
      </c>
      <c r="J1870" s="498">
        <f t="shared" si="182"/>
        <v>750000</v>
      </c>
      <c r="K1870" s="524">
        <f t="shared" si="183"/>
        <v>1</v>
      </c>
      <c r="L1870" s="498">
        <f t="shared" si="184"/>
        <v>775447</v>
      </c>
      <c r="M1870" s="524">
        <f t="shared" si="185"/>
        <v>1.0702419284717613</v>
      </c>
    </row>
    <row r="1871" spans="1:13" hidden="1" x14ac:dyDescent="0.2">
      <c r="C1871" s="468" t="s">
        <v>895</v>
      </c>
      <c r="D1871" s="498">
        <f t="shared" si="189"/>
        <v>2000000</v>
      </c>
      <c r="E1871" s="498">
        <f t="shared" si="189"/>
        <v>0</v>
      </c>
      <c r="F1871" s="498">
        <f t="shared" si="189"/>
        <v>-951501</v>
      </c>
      <c r="G1871" s="498">
        <f t="shared" si="189"/>
        <v>0</v>
      </c>
      <c r="H1871" s="498">
        <f t="shared" si="186"/>
        <v>1048499</v>
      </c>
      <c r="I1871" s="498">
        <v>2000000</v>
      </c>
      <c r="J1871" s="498">
        <f t="shared" si="182"/>
        <v>0</v>
      </c>
      <c r="K1871" s="524">
        <f t="shared" si="183"/>
        <v>0</v>
      </c>
      <c r="L1871" s="498">
        <f t="shared" si="184"/>
        <v>951501</v>
      </c>
      <c r="M1871" s="524">
        <f t="shared" si="185"/>
        <v>0.9074887052825038</v>
      </c>
    </row>
    <row r="1872" spans="1:13" hidden="1" x14ac:dyDescent="0.2">
      <c r="C1872" s="320" t="s">
        <v>896</v>
      </c>
      <c r="D1872" s="498">
        <f>D1751</f>
        <v>750000</v>
      </c>
      <c r="E1872" s="498">
        <f>E1751</f>
        <v>0</v>
      </c>
      <c r="F1872" s="498">
        <f>F1751</f>
        <v>-82458</v>
      </c>
      <c r="G1872" s="498">
        <f>G1751</f>
        <v>-27975</v>
      </c>
      <c r="H1872" s="498">
        <f t="shared" si="186"/>
        <v>639567</v>
      </c>
      <c r="I1872" s="498">
        <v>1500000</v>
      </c>
      <c r="J1872" s="498">
        <f t="shared" si="182"/>
        <v>750000</v>
      </c>
      <c r="K1872" s="524">
        <f t="shared" si="183"/>
        <v>1</v>
      </c>
      <c r="L1872" s="498">
        <f t="shared" si="184"/>
        <v>860433</v>
      </c>
      <c r="M1872" s="524">
        <f t="shared" si="185"/>
        <v>1.3453367669063601</v>
      </c>
    </row>
    <row r="1873" spans="1:13" hidden="1" x14ac:dyDescent="0.2">
      <c r="C1873" s="320" t="s">
        <v>788</v>
      </c>
      <c r="D1873" s="498">
        <f>D1750</f>
        <v>1000000</v>
      </c>
      <c r="E1873" s="498">
        <f>E1750</f>
        <v>0</v>
      </c>
      <c r="F1873" s="498">
        <f>F1750</f>
        <v>1000000</v>
      </c>
      <c r="G1873" s="498">
        <f>G1750</f>
        <v>0</v>
      </c>
      <c r="H1873" s="498">
        <f t="shared" si="186"/>
        <v>2000000</v>
      </c>
      <c r="I1873" s="498">
        <v>1000000</v>
      </c>
      <c r="J1873" s="498">
        <f t="shared" si="182"/>
        <v>0</v>
      </c>
      <c r="K1873" s="524">
        <f t="shared" si="183"/>
        <v>0</v>
      </c>
      <c r="L1873" s="498">
        <f t="shared" si="184"/>
        <v>-1000000</v>
      </c>
      <c r="M1873" s="524">
        <f t="shared" si="185"/>
        <v>-0.5</v>
      </c>
    </row>
    <row r="1874" spans="1:13" hidden="1" x14ac:dyDescent="0.2">
      <c r="C1874" s="320" t="s">
        <v>1070</v>
      </c>
      <c r="D1874" s="498">
        <f>D1756</f>
        <v>0</v>
      </c>
      <c r="E1874" s="498">
        <f t="shared" ref="E1874:H1874" si="190">E1756</f>
        <v>0</v>
      </c>
      <c r="F1874" s="498">
        <f t="shared" si="190"/>
        <v>0</v>
      </c>
      <c r="G1874" s="498">
        <f t="shared" si="190"/>
        <v>2000000</v>
      </c>
      <c r="H1874" s="498">
        <f t="shared" si="190"/>
        <v>2000000</v>
      </c>
      <c r="I1874" s="498"/>
      <c r="J1874" s="498"/>
      <c r="K1874" s="524"/>
      <c r="L1874" s="498"/>
      <c r="M1874" s="524"/>
    </row>
    <row r="1875" spans="1:13" hidden="1" x14ac:dyDescent="0.2">
      <c r="C1875" s="320" t="s">
        <v>832</v>
      </c>
      <c r="D1875" s="498">
        <f>D1754</f>
        <v>250000</v>
      </c>
      <c r="E1875" s="498">
        <f>E1754</f>
        <v>0</v>
      </c>
      <c r="F1875" s="498">
        <f>F1754</f>
        <v>0</v>
      </c>
      <c r="G1875" s="498">
        <f>G1754</f>
        <v>0</v>
      </c>
      <c r="H1875" s="498">
        <f t="shared" si="186"/>
        <v>250000</v>
      </c>
      <c r="I1875" s="498">
        <v>6430000</v>
      </c>
      <c r="J1875" s="498">
        <f t="shared" si="182"/>
        <v>6180000</v>
      </c>
      <c r="K1875" s="524">
        <f t="shared" si="183"/>
        <v>24.72</v>
      </c>
      <c r="L1875" s="498">
        <f t="shared" si="184"/>
        <v>6180000</v>
      </c>
      <c r="M1875" s="524">
        <f t="shared" si="185"/>
        <v>24.72</v>
      </c>
    </row>
    <row r="1876" spans="1:13" hidden="1" x14ac:dyDescent="0.2">
      <c r="C1876" s="467" t="s">
        <v>52</v>
      </c>
      <c r="D1876" s="173">
        <f>SUM(D1867:D1875)</f>
        <v>452754731</v>
      </c>
      <c r="E1876" s="173">
        <f t="shared" ref="E1876" si="191">SUM(E1867:E1875)</f>
        <v>0</v>
      </c>
      <c r="F1876" s="173">
        <f t="shared" ref="F1876:G1876" si="192">SUM(F1867:F1875)</f>
        <v>23389556</v>
      </c>
      <c r="G1876" s="173">
        <f t="shared" si="192"/>
        <v>9986429</v>
      </c>
      <c r="H1876" s="173">
        <f t="shared" si="186"/>
        <v>486130716</v>
      </c>
      <c r="I1876" s="173">
        <v>515593195</v>
      </c>
      <c r="J1876" s="173">
        <f t="shared" si="182"/>
        <v>62838464</v>
      </c>
      <c r="K1876" s="528">
        <f t="shared" si="183"/>
        <v>0.13879140227029454</v>
      </c>
      <c r="L1876" s="173">
        <f t="shared" si="184"/>
        <v>29462479</v>
      </c>
      <c r="M1876" s="528">
        <f t="shared" si="185"/>
        <v>6.0606083981741242E-2</v>
      </c>
    </row>
    <row r="1877" spans="1:13" hidden="1" x14ac:dyDescent="0.2">
      <c r="C1877" s="39"/>
      <c r="D1877" s="487">
        <f ca="1">D1876-D1770</f>
        <v>0</v>
      </c>
      <c r="E1877" s="487">
        <f ca="1">E1876-E1770</f>
        <v>0</v>
      </c>
      <c r="F1877" s="487">
        <f ca="1">F1876-F1770</f>
        <v>0</v>
      </c>
      <c r="G1877" s="487">
        <f ca="1">G1876-G1770</f>
        <v>0</v>
      </c>
      <c r="H1877" s="487">
        <f t="shared" ca="1" si="186"/>
        <v>0</v>
      </c>
      <c r="I1877" s="487">
        <v>0</v>
      </c>
      <c r="J1877" s="487">
        <f t="shared" ca="1" si="182"/>
        <v>0</v>
      </c>
      <c r="K1877" s="970"/>
      <c r="L1877" s="487">
        <f t="shared" ca="1" si="184"/>
        <v>0</v>
      </c>
      <c r="M1877" s="970"/>
    </row>
    <row r="1878" spans="1:13" hidden="1" x14ac:dyDescent="0.2">
      <c r="C1878" s="39"/>
      <c r="D1878" s="487"/>
      <c r="E1878" s="487"/>
      <c r="F1878" s="487"/>
      <c r="G1878" s="487"/>
      <c r="H1878" s="487">
        <f t="shared" si="186"/>
        <v>0</v>
      </c>
      <c r="I1878" s="487">
        <v>0</v>
      </c>
      <c r="J1878" s="487">
        <f t="shared" si="182"/>
        <v>0</v>
      </c>
      <c r="K1878" s="970"/>
      <c r="L1878" s="487">
        <f t="shared" si="184"/>
        <v>0</v>
      </c>
      <c r="M1878" s="970"/>
    </row>
    <row r="1879" spans="1:13" hidden="1" x14ac:dyDescent="0.2">
      <c r="C1879" s="470" t="s">
        <v>906</v>
      </c>
      <c r="D1879" s="487"/>
      <c r="E1879" s="487"/>
      <c r="F1879" s="487"/>
      <c r="G1879" s="487"/>
      <c r="H1879" s="487">
        <f t="shared" si="186"/>
        <v>0</v>
      </c>
      <c r="I1879" s="487">
        <v>0</v>
      </c>
      <c r="J1879" s="487">
        <f t="shared" si="182"/>
        <v>0</v>
      </c>
      <c r="K1879" s="970"/>
      <c r="L1879" s="487">
        <f t="shared" si="184"/>
        <v>0</v>
      </c>
      <c r="M1879" s="970"/>
    </row>
    <row r="1880" spans="1:13" hidden="1" x14ac:dyDescent="0.2">
      <c r="C1880" s="4" t="s">
        <v>861</v>
      </c>
      <c r="D1880" s="487">
        <f>D12</f>
        <v>1669844</v>
      </c>
      <c r="E1880" s="487">
        <f>E12</f>
        <v>0</v>
      </c>
      <c r="F1880" s="487">
        <f>F12</f>
        <v>-11529</v>
      </c>
      <c r="G1880" s="487">
        <f>G12</f>
        <v>4551</v>
      </c>
      <c r="H1880" s="487">
        <f t="shared" si="186"/>
        <v>1662866</v>
      </c>
      <c r="I1880" s="487">
        <v>1780245</v>
      </c>
      <c r="J1880" s="487">
        <f t="shared" si="182"/>
        <v>110401</v>
      </c>
      <c r="K1880" s="970">
        <f t="shared" si="183"/>
        <v>6.6114559204332859E-2</v>
      </c>
      <c r="L1880" s="487">
        <f t="shared" si="184"/>
        <v>117379</v>
      </c>
      <c r="M1880" s="970">
        <f t="shared" si="185"/>
        <v>7.0588369718305621E-2</v>
      </c>
    </row>
    <row r="1881" spans="1:13" hidden="1" x14ac:dyDescent="0.2">
      <c r="C1881" s="4" t="s">
        <v>194</v>
      </c>
      <c r="D1881" s="487">
        <f>D32</f>
        <v>3729786</v>
      </c>
      <c r="E1881" s="487">
        <f>E32</f>
        <v>0</v>
      </c>
      <c r="F1881" s="487">
        <f>F32</f>
        <v>93796</v>
      </c>
      <c r="G1881" s="487">
        <f>G32</f>
        <v>114292</v>
      </c>
      <c r="H1881" s="487">
        <f t="shared" si="186"/>
        <v>3937874</v>
      </c>
      <c r="I1881" s="487">
        <v>3735938</v>
      </c>
      <c r="J1881" s="487">
        <f t="shared" si="182"/>
        <v>6152</v>
      </c>
      <c r="K1881" s="970">
        <f t="shared" si="183"/>
        <v>1.6494243905682525E-3</v>
      </c>
      <c r="L1881" s="487">
        <f t="shared" si="184"/>
        <v>-201936</v>
      </c>
      <c r="M1881" s="970">
        <f t="shared" si="185"/>
        <v>-5.1280462503371108E-2</v>
      </c>
    </row>
    <row r="1882" spans="1:13" hidden="1" x14ac:dyDescent="0.2">
      <c r="C1882" s="6" t="s">
        <v>792</v>
      </c>
      <c r="D1882" s="487">
        <f>D81</f>
        <v>11131166</v>
      </c>
      <c r="E1882" s="487">
        <f>E81</f>
        <v>0</v>
      </c>
      <c r="F1882" s="487">
        <f>F81</f>
        <v>-106588</v>
      </c>
      <c r="G1882" s="487">
        <f>G81</f>
        <v>-314843</v>
      </c>
      <c r="H1882" s="487">
        <f t="shared" si="186"/>
        <v>10709735</v>
      </c>
      <c r="I1882" s="487">
        <v>11879435</v>
      </c>
      <c r="J1882" s="487">
        <f t="shared" si="182"/>
        <v>748269</v>
      </c>
      <c r="K1882" s="970">
        <f t="shared" si="183"/>
        <v>6.7222876740855364E-2</v>
      </c>
      <c r="L1882" s="487">
        <f t="shared" si="184"/>
        <v>1169700</v>
      </c>
      <c r="M1882" s="970">
        <f t="shared" si="185"/>
        <v>0.10921838869028973</v>
      </c>
    </row>
    <row r="1883" spans="1:13" hidden="1" x14ac:dyDescent="0.2">
      <c r="C1883" s="4" t="s">
        <v>195</v>
      </c>
      <c r="D1883" s="487">
        <f>D303</f>
        <v>761481</v>
      </c>
      <c r="E1883" s="487">
        <f>E303</f>
        <v>0</v>
      </c>
      <c r="F1883" s="487">
        <f>F303</f>
        <v>13973</v>
      </c>
      <c r="G1883" s="487">
        <f>G303</f>
        <v>11550</v>
      </c>
      <c r="H1883" s="487">
        <f t="shared" si="186"/>
        <v>787004</v>
      </c>
      <c r="I1883" s="487">
        <v>706614</v>
      </c>
      <c r="J1883" s="487">
        <f t="shared" si="182"/>
        <v>-54867</v>
      </c>
      <c r="K1883" s="970">
        <f t="shared" si="183"/>
        <v>-7.205301248488144E-2</v>
      </c>
      <c r="L1883" s="487">
        <f t="shared" si="184"/>
        <v>-80390</v>
      </c>
      <c r="M1883" s="970">
        <f t="shared" si="185"/>
        <v>-0.10214687600063024</v>
      </c>
    </row>
    <row r="1884" spans="1:13" hidden="1" x14ac:dyDescent="0.2">
      <c r="C1884" s="4" t="s">
        <v>120</v>
      </c>
      <c r="D1884" s="487">
        <f>D323</f>
        <v>151874553</v>
      </c>
      <c r="E1884" s="487">
        <f>E323</f>
        <v>0</v>
      </c>
      <c r="F1884" s="487">
        <f>F323</f>
        <v>1939226</v>
      </c>
      <c r="G1884" s="487">
        <f>G323</f>
        <v>134024</v>
      </c>
      <c r="H1884" s="487">
        <f t="shared" si="186"/>
        <v>153947803</v>
      </c>
      <c r="I1884" s="487">
        <v>163751290</v>
      </c>
      <c r="J1884" s="487">
        <f t="shared" si="182"/>
        <v>11876737</v>
      </c>
      <c r="K1884" s="970">
        <f t="shared" si="183"/>
        <v>7.8200967610419891E-2</v>
      </c>
      <c r="L1884" s="487">
        <f t="shared" si="184"/>
        <v>9803487</v>
      </c>
      <c r="M1884" s="970">
        <f t="shared" si="185"/>
        <v>6.3680590492090364E-2</v>
      </c>
    </row>
    <row r="1885" spans="1:13" hidden="1" x14ac:dyDescent="0.2">
      <c r="C1885" s="4" t="s">
        <v>783</v>
      </c>
      <c r="D1885" s="487">
        <f>D455</f>
        <v>9965923</v>
      </c>
      <c r="E1885" s="487">
        <f>E455</f>
        <v>0</v>
      </c>
      <c r="F1885" s="487">
        <f>F455</f>
        <v>115962</v>
      </c>
      <c r="G1885" s="487">
        <f>G455</f>
        <v>-255919</v>
      </c>
      <c r="H1885" s="487">
        <f t="shared" si="186"/>
        <v>9825966</v>
      </c>
      <c r="I1885" s="487">
        <v>10813209</v>
      </c>
      <c r="J1885" s="487">
        <f t="shared" si="182"/>
        <v>847286</v>
      </c>
      <c r="K1885" s="970">
        <f t="shared" si="183"/>
        <v>8.5018316918563389E-2</v>
      </c>
      <c r="L1885" s="487">
        <f t="shared" si="184"/>
        <v>987243</v>
      </c>
      <c r="M1885" s="970">
        <f t="shared" si="185"/>
        <v>0.10047286953771263</v>
      </c>
    </row>
    <row r="1886" spans="1:13" s="17" customFormat="1" hidden="1" x14ac:dyDescent="0.2">
      <c r="A1886" s="503"/>
      <c r="B1886" s="503"/>
      <c r="C1886" s="4" t="s">
        <v>202</v>
      </c>
      <c r="D1886" s="487">
        <f>D625</f>
        <v>21773989</v>
      </c>
      <c r="E1886" s="487">
        <f>E625</f>
        <v>-333720</v>
      </c>
      <c r="F1886" s="487">
        <f>F625</f>
        <v>2134267</v>
      </c>
      <c r="G1886" s="487">
        <f>G625</f>
        <v>998460</v>
      </c>
      <c r="H1886" s="487">
        <f t="shared" si="186"/>
        <v>24572996</v>
      </c>
      <c r="I1886" s="487">
        <v>24260829</v>
      </c>
      <c r="J1886" s="487">
        <f t="shared" si="182"/>
        <v>2486840</v>
      </c>
      <c r="K1886" s="970">
        <f t="shared" si="183"/>
        <v>0.11421150254094461</v>
      </c>
      <c r="L1886" s="487">
        <f t="shared" si="184"/>
        <v>-312167</v>
      </c>
      <c r="M1886" s="970">
        <f t="shared" si="185"/>
        <v>-1.2703660554862745E-2</v>
      </c>
    </row>
    <row r="1887" spans="1:13" hidden="1" x14ac:dyDescent="0.2">
      <c r="C1887" s="6" t="s">
        <v>873</v>
      </c>
      <c r="D1887" s="487">
        <f>D925</f>
        <v>2400216</v>
      </c>
      <c r="E1887" s="487">
        <f>E925</f>
        <v>0</v>
      </c>
      <c r="F1887" s="487">
        <f>F925</f>
        <v>127114</v>
      </c>
      <c r="G1887" s="487">
        <f>G925</f>
        <v>7740</v>
      </c>
      <c r="H1887" s="487">
        <f t="shared" si="186"/>
        <v>2535070</v>
      </c>
      <c r="I1887" s="487">
        <v>2724712</v>
      </c>
      <c r="J1887" s="487">
        <f t="shared" si="182"/>
        <v>324496</v>
      </c>
      <c r="K1887" s="970">
        <f t="shared" si="183"/>
        <v>0.13519449916174212</v>
      </c>
      <c r="L1887" s="487">
        <f t="shared" si="184"/>
        <v>189642</v>
      </c>
      <c r="M1887" s="970">
        <f t="shared" si="185"/>
        <v>7.4807401767998521E-2</v>
      </c>
    </row>
    <row r="1888" spans="1:13" hidden="1" x14ac:dyDescent="0.2">
      <c r="C1888" s="6" t="s">
        <v>875</v>
      </c>
      <c r="D1888" s="487">
        <f>D978</f>
        <v>1280920.0713751868</v>
      </c>
      <c r="E1888" s="487">
        <f>E978</f>
        <v>0</v>
      </c>
      <c r="F1888" s="487">
        <f>F978</f>
        <v>54758</v>
      </c>
      <c r="G1888" s="487">
        <f>G978</f>
        <v>-4041</v>
      </c>
      <c r="H1888" s="487">
        <f t="shared" si="186"/>
        <v>1331637.0713751868</v>
      </c>
      <c r="I1888" s="487">
        <v>1378595</v>
      </c>
      <c r="J1888" s="487">
        <f t="shared" si="182"/>
        <v>97674.928624813212</v>
      </c>
      <c r="K1888" s="970">
        <f t="shared" si="183"/>
        <v>7.6253726370256722E-2</v>
      </c>
      <c r="L1888" s="487">
        <f t="shared" si="184"/>
        <v>46957.928624813212</v>
      </c>
      <c r="M1888" s="970">
        <f t="shared" si="185"/>
        <v>3.5263308324932394E-2</v>
      </c>
    </row>
    <row r="1889" spans="1:13" hidden="1" x14ac:dyDescent="0.2">
      <c r="C1889" s="6" t="s">
        <v>876</v>
      </c>
      <c r="D1889" s="487">
        <f>D1071</f>
        <v>7346066</v>
      </c>
      <c r="E1889" s="487">
        <f>E1071</f>
        <v>0</v>
      </c>
      <c r="F1889" s="487">
        <f>F1071</f>
        <v>94406</v>
      </c>
      <c r="G1889" s="487">
        <f>G1071</f>
        <v>73468</v>
      </c>
      <c r="H1889" s="487">
        <f t="shared" si="186"/>
        <v>7513940</v>
      </c>
      <c r="I1889" s="487">
        <v>7796380</v>
      </c>
      <c r="J1889" s="487">
        <f t="shared" si="182"/>
        <v>450314</v>
      </c>
      <c r="K1889" s="970">
        <f t="shared" si="183"/>
        <v>6.1300020990826924E-2</v>
      </c>
      <c r="L1889" s="487">
        <f t="shared" si="184"/>
        <v>282440</v>
      </c>
      <c r="M1889" s="970">
        <f t="shared" si="185"/>
        <v>3.7588801614066657E-2</v>
      </c>
    </row>
    <row r="1890" spans="1:13" hidden="1" x14ac:dyDescent="0.2">
      <c r="A1890" s="504"/>
      <c r="B1890" s="504"/>
      <c r="C1890" s="4" t="s">
        <v>880</v>
      </c>
      <c r="D1890" s="487">
        <f>D1188</f>
        <v>2342883</v>
      </c>
      <c r="E1890" s="487">
        <f>E1188</f>
        <v>0</v>
      </c>
      <c r="F1890" s="487">
        <f>F1188</f>
        <v>122853</v>
      </c>
      <c r="G1890" s="487">
        <f>G1188</f>
        <v>-9425</v>
      </c>
      <c r="H1890" s="487">
        <f t="shared" si="186"/>
        <v>2456311</v>
      </c>
      <c r="I1890" s="487">
        <v>2809770</v>
      </c>
      <c r="J1890" s="487">
        <f t="shared" si="182"/>
        <v>466887</v>
      </c>
      <c r="K1890" s="970">
        <f t="shared" si="183"/>
        <v>0.1992788372274672</v>
      </c>
      <c r="L1890" s="487">
        <f t="shared" si="184"/>
        <v>353459</v>
      </c>
      <c r="M1890" s="970">
        <f t="shared" si="185"/>
        <v>0.14389830929389641</v>
      </c>
    </row>
    <row r="1891" spans="1:13" hidden="1" x14ac:dyDescent="0.2">
      <c r="C1891" s="4" t="s">
        <v>902</v>
      </c>
      <c r="D1891" s="487">
        <f>D1209</f>
        <v>2768031</v>
      </c>
      <c r="E1891" s="487">
        <f>E1209</f>
        <v>0</v>
      </c>
      <c r="F1891" s="487">
        <f>F1209</f>
        <v>119448</v>
      </c>
      <c r="G1891" s="487">
        <f>G1209</f>
        <v>-41171</v>
      </c>
      <c r="H1891" s="487">
        <f t="shared" si="186"/>
        <v>2846308</v>
      </c>
      <c r="I1891" s="487">
        <v>3441202</v>
      </c>
      <c r="J1891" s="487">
        <f t="shared" si="182"/>
        <v>673171</v>
      </c>
      <c r="K1891" s="970">
        <f t="shared" si="183"/>
        <v>0.24319489196472149</v>
      </c>
      <c r="L1891" s="487">
        <f t="shared" si="184"/>
        <v>594894</v>
      </c>
      <c r="M1891" s="970">
        <f t="shared" si="185"/>
        <v>0.20900549062153498</v>
      </c>
    </row>
    <row r="1892" spans="1:13" hidden="1" x14ac:dyDescent="0.2">
      <c r="C1892" s="4" t="s">
        <v>270</v>
      </c>
      <c r="D1892" s="487">
        <f>D1234</f>
        <v>1193469</v>
      </c>
      <c r="E1892" s="487">
        <f>E1234</f>
        <v>27897</v>
      </c>
      <c r="F1892" s="487">
        <f>F1234</f>
        <v>-17543</v>
      </c>
      <c r="G1892" s="487">
        <f>G1234</f>
        <v>-14536</v>
      </c>
      <c r="H1892" s="487">
        <f t="shared" si="186"/>
        <v>1189287</v>
      </c>
      <c r="I1892" s="487">
        <v>1266669</v>
      </c>
      <c r="J1892" s="487">
        <f t="shared" si="182"/>
        <v>73200</v>
      </c>
      <c r="K1892" s="970">
        <f t="shared" si="183"/>
        <v>6.1333809256880575E-2</v>
      </c>
      <c r="L1892" s="487">
        <f t="shared" si="184"/>
        <v>77382</v>
      </c>
      <c r="M1892" s="970">
        <f t="shared" si="185"/>
        <v>6.5065875604458812E-2</v>
      </c>
    </row>
    <row r="1893" spans="1:13" hidden="1" x14ac:dyDescent="0.2">
      <c r="C1893" s="4" t="s">
        <v>468</v>
      </c>
      <c r="D1893" s="487">
        <f>D1291</f>
        <v>2107311</v>
      </c>
      <c r="E1893" s="487">
        <f>E1291</f>
        <v>36985</v>
      </c>
      <c r="F1893" s="487">
        <f>F1291</f>
        <v>29252</v>
      </c>
      <c r="G1893" s="487">
        <f>G1291</f>
        <v>-19323</v>
      </c>
      <c r="H1893" s="487">
        <f t="shared" si="186"/>
        <v>2154225</v>
      </c>
      <c r="I1893" s="487">
        <v>2229409</v>
      </c>
      <c r="J1893" s="487">
        <f t="shared" si="182"/>
        <v>122098</v>
      </c>
      <c r="K1893" s="970">
        <f t="shared" si="183"/>
        <v>5.7940190128557202E-2</v>
      </c>
      <c r="L1893" s="487">
        <f t="shared" si="184"/>
        <v>75184</v>
      </c>
      <c r="M1893" s="970">
        <f t="shared" si="185"/>
        <v>3.4900718355789208E-2</v>
      </c>
    </row>
    <row r="1894" spans="1:13" hidden="1" x14ac:dyDescent="0.2">
      <c r="C1894" s="4" t="s">
        <v>277</v>
      </c>
      <c r="D1894" s="487">
        <f>D1374</f>
        <v>1323622</v>
      </c>
      <c r="E1894" s="487">
        <f>E1374</f>
        <v>39984</v>
      </c>
      <c r="F1894" s="487">
        <f>F1374</f>
        <v>12223</v>
      </c>
      <c r="G1894" s="487">
        <f>G1374</f>
        <v>-7160</v>
      </c>
      <c r="H1894" s="487">
        <f t="shared" si="186"/>
        <v>1368669</v>
      </c>
      <c r="I1894" s="487">
        <v>1412504</v>
      </c>
      <c r="J1894" s="487">
        <f t="shared" si="182"/>
        <v>88882</v>
      </c>
      <c r="K1894" s="970">
        <f t="shared" si="183"/>
        <v>6.7150591331966381E-2</v>
      </c>
      <c r="L1894" s="487">
        <f t="shared" si="184"/>
        <v>43835</v>
      </c>
      <c r="M1894" s="970">
        <f t="shared" si="185"/>
        <v>3.2027466100276986E-2</v>
      </c>
    </row>
    <row r="1895" spans="1:13" hidden="1" x14ac:dyDescent="0.2">
      <c r="C1895" s="4" t="s">
        <v>278</v>
      </c>
      <c r="D1895" s="487">
        <f>D1426</f>
        <v>3251983</v>
      </c>
      <c r="E1895" s="487">
        <f>E1426</f>
        <v>85892</v>
      </c>
      <c r="F1895" s="487">
        <f>F1426</f>
        <v>23747</v>
      </c>
      <c r="G1895" s="487">
        <f>G1426</f>
        <v>-3937</v>
      </c>
      <c r="H1895" s="487">
        <f t="shared" si="186"/>
        <v>3357685</v>
      </c>
      <c r="I1895" s="487">
        <v>3393506</v>
      </c>
      <c r="J1895" s="487">
        <f t="shared" si="182"/>
        <v>141523</v>
      </c>
      <c r="K1895" s="970">
        <f t="shared" si="183"/>
        <v>4.3518985185346908E-2</v>
      </c>
      <c r="L1895" s="487">
        <f t="shared" si="184"/>
        <v>35821</v>
      </c>
      <c r="M1895" s="970">
        <f t="shared" si="185"/>
        <v>1.0668362279368076E-2</v>
      </c>
    </row>
    <row r="1896" spans="1:13" hidden="1" x14ac:dyDescent="0.2">
      <c r="C1896" s="4" t="s">
        <v>279</v>
      </c>
      <c r="D1896" s="487">
        <f>D1497</f>
        <v>1959558</v>
      </c>
      <c r="E1896" s="487">
        <f>E1497</f>
        <v>42789</v>
      </c>
      <c r="F1896" s="487">
        <f>F1497</f>
        <v>35552</v>
      </c>
      <c r="G1896" s="487">
        <f>G1497</f>
        <v>-17189</v>
      </c>
      <c r="H1896" s="487">
        <f t="shared" si="186"/>
        <v>2020710</v>
      </c>
      <c r="I1896" s="487">
        <v>2130940</v>
      </c>
      <c r="J1896" s="487">
        <f t="shared" si="182"/>
        <v>171382</v>
      </c>
      <c r="K1896" s="970">
        <f t="shared" si="183"/>
        <v>8.7459518932330657E-2</v>
      </c>
      <c r="L1896" s="487">
        <f t="shared" si="184"/>
        <v>110230</v>
      </c>
      <c r="M1896" s="970">
        <f t="shared" si="185"/>
        <v>5.4550133368964374E-2</v>
      </c>
    </row>
    <row r="1897" spans="1:13" hidden="1" x14ac:dyDescent="0.2">
      <c r="C1897" s="4" t="s">
        <v>280</v>
      </c>
      <c r="D1897" s="487">
        <f>D1559</f>
        <v>1687879</v>
      </c>
      <c r="E1897" s="487">
        <f>E1559</f>
        <v>38239</v>
      </c>
      <c r="F1897" s="487">
        <f>F1559</f>
        <v>13293</v>
      </c>
      <c r="G1897" s="487">
        <f>G1559</f>
        <v>-13829</v>
      </c>
      <c r="H1897" s="487">
        <f t="shared" si="186"/>
        <v>1725582</v>
      </c>
      <c r="I1897" s="487">
        <v>1774929</v>
      </c>
      <c r="J1897" s="487">
        <f t="shared" si="182"/>
        <v>87050</v>
      </c>
      <c r="K1897" s="970">
        <f t="shared" si="183"/>
        <v>5.1573602136172084E-2</v>
      </c>
      <c r="L1897" s="487">
        <f t="shared" si="184"/>
        <v>49347</v>
      </c>
      <c r="M1897" s="970">
        <f t="shared" si="185"/>
        <v>2.8597308038679124E-2</v>
      </c>
    </row>
    <row r="1898" spans="1:13" hidden="1" x14ac:dyDescent="0.2">
      <c r="C1898" s="4" t="s">
        <v>281</v>
      </c>
      <c r="D1898" s="487">
        <f>D1630</f>
        <v>887756</v>
      </c>
      <c r="E1898" s="487">
        <f>E1630</f>
        <v>10424</v>
      </c>
      <c r="F1898" s="487">
        <f>F1630</f>
        <v>4188</v>
      </c>
      <c r="G1898" s="487">
        <f>G1630</f>
        <v>-9055</v>
      </c>
      <c r="H1898" s="487">
        <f t="shared" si="186"/>
        <v>893313</v>
      </c>
      <c r="I1898" s="487">
        <v>911240</v>
      </c>
      <c r="J1898" s="487">
        <f t="shared" si="182"/>
        <v>23484</v>
      </c>
      <c r="K1898" s="970">
        <f t="shared" si="183"/>
        <v>2.6453214622035783E-2</v>
      </c>
      <c r="L1898" s="487">
        <f t="shared" si="184"/>
        <v>17927</v>
      </c>
      <c r="M1898" s="970">
        <f t="shared" si="185"/>
        <v>2.0067994084939995E-2</v>
      </c>
    </row>
    <row r="1899" spans="1:13" hidden="1" x14ac:dyDescent="0.2">
      <c r="C1899" s="4" t="s">
        <v>282</v>
      </c>
      <c r="D1899" s="487">
        <f>D1683</f>
        <v>2452746</v>
      </c>
      <c r="E1899" s="487">
        <f>E1683</f>
        <v>51510</v>
      </c>
      <c r="F1899" s="487">
        <f>F1683</f>
        <v>19748</v>
      </c>
      <c r="G1899" s="487">
        <f>G1683</f>
        <v>9143</v>
      </c>
      <c r="H1899" s="487">
        <f t="shared" si="186"/>
        <v>2533147</v>
      </c>
      <c r="I1899" s="487">
        <v>2507089</v>
      </c>
      <c r="J1899" s="487">
        <f t="shared" si="182"/>
        <v>54343</v>
      </c>
      <c r="K1899" s="970">
        <f t="shared" si="183"/>
        <v>2.2155983538450375E-2</v>
      </c>
      <c r="L1899" s="487">
        <f t="shared" si="184"/>
        <v>-26058</v>
      </c>
      <c r="M1899" s="970">
        <f t="shared" si="185"/>
        <v>-1.0286809253470091E-2</v>
      </c>
    </row>
    <row r="1900" spans="1:13" hidden="1" x14ac:dyDescent="0.2">
      <c r="C1900" s="467" t="s">
        <v>903</v>
      </c>
      <c r="D1900" s="471">
        <f>SUM(D1880:D1899)</f>
        <v>231909182.07137519</v>
      </c>
      <c r="E1900" s="471">
        <f>SUM(E1880:E1899)</f>
        <v>0</v>
      </c>
      <c r="F1900" s="471">
        <f t="shared" ref="F1900:G1900" si="193">SUM(F1880:F1899)</f>
        <v>4818146</v>
      </c>
      <c r="G1900" s="471">
        <f t="shared" si="193"/>
        <v>642800</v>
      </c>
      <c r="H1900" s="471">
        <f t="shared" si="186"/>
        <v>237370128.07137519</v>
      </c>
      <c r="I1900" s="471">
        <v>250704505</v>
      </c>
      <c r="J1900" s="471">
        <f t="shared" si="182"/>
        <v>18795322.928624809</v>
      </c>
      <c r="K1900" s="971">
        <f t="shared" si="183"/>
        <v>8.1046048978087176E-2</v>
      </c>
      <c r="L1900" s="471">
        <f t="shared" si="184"/>
        <v>13334376.928624809</v>
      </c>
      <c r="M1900" s="971">
        <f t="shared" si="185"/>
        <v>5.6175463344803327E-2</v>
      </c>
    </row>
    <row r="1901" spans="1:13" hidden="1" x14ac:dyDescent="0.2">
      <c r="C1901" s="36"/>
      <c r="D1901" s="487">
        <f ca="1">D1900-D1761</f>
        <v>0</v>
      </c>
      <c r="E1901" s="487">
        <f ca="1">E1900-E1761</f>
        <v>0</v>
      </c>
      <c r="F1901" s="487">
        <f ca="1">F1900-F1761</f>
        <v>0</v>
      </c>
      <c r="G1901" s="487">
        <f ca="1">G1900-G1761</f>
        <v>0</v>
      </c>
      <c r="H1901" s="487">
        <f t="shared" ca="1" si="186"/>
        <v>0</v>
      </c>
      <c r="I1901" s="487">
        <v>0</v>
      </c>
      <c r="J1901" s="487">
        <f t="shared" ca="1" si="182"/>
        <v>0</v>
      </c>
      <c r="K1901" s="970"/>
      <c r="L1901" s="487">
        <f t="shared" ca="1" si="184"/>
        <v>0</v>
      </c>
      <c r="M1901" s="970"/>
    </row>
    <row r="1902" spans="1:13" hidden="1" x14ac:dyDescent="0.2">
      <c r="C1902" s="36"/>
      <c r="D1902" s="487"/>
      <c r="E1902" s="487"/>
      <c r="F1902" s="487"/>
      <c r="G1902" s="487"/>
      <c r="H1902" s="487">
        <f t="shared" si="186"/>
        <v>0</v>
      </c>
      <c r="I1902" s="487">
        <v>0</v>
      </c>
      <c r="J1902" s="487">
        <f t="shared" si="182"/>
        <v>0</v>
      </c>
      <c r="K1902" s="970"/>
      <c r="L1902" s="487">
        <f t="shared" si="184"/>
        <v>0</v>
      </c>
      <c r="M1902" s="970"/>
    </row>
    <row r="1903" spans="1:13" hidden="1" x14ac:dyDescent="0.2">
      <c r="C1903" s="23" t="s">
        <v>907</v>
      </c>
      <c r="D1903" s="487"/>
      <c r="E1903" s="487"/>
      <c r="F1903" s="487"/>
      <c r="G1903" s="487"/>
      <c r="H1903" s="487">
        <f t="shared" si="186"/>
        <v>0</v>
      </c>
      <c r="I1903" s="487">
        <v>0</v>
      </c>
      <c r="J1903" s="487">
        <f t="shared" si="182"/>
        <v>0</v>
      </c>
      <c r="K1903" s="970"/>
      <c r="L1903" s="487">
        <f t="shared" si="184"/>
        <v>0</v>
      </c>
      <c r="M1903" s="970"/>
    </row>
    <row r="1904" spans="1:13" hidden="1" x14ac:dyDescent="0.2">
      <c r="C1904" s="4" t="s">
        <v>861</v>
      </c>
      <c r="D1904" s="487">
        <f>D10</f>
        <v>28450</v>
      </c>
      <c r="E1904" s="487">
        <f>E10</f>
        <v>0</v>
      </c>
      <c r="F1904" s="487">
        <f>F10</f>
        <v>-4950</v>
      </c>
      <c r="G1904" s="487">
        <f>G10</f>
        <v>0</v>
      </c>
      <c r="H1904" s="487">
        <f t="shared" si="186"/>
        <v>23500</v>
      </c>
      <c r="I1904" s="487">
        <v>28450</v>
      </c>
      <c r="J1904" s="487">
        <f t="shared" si="182"/>
        <v>0</v>
      </c>
      <c r="K1904" s="970">
        <f t="shared" si="183"/>
        <v>0</v>
      </c>
      <c r="L1904" s="487">
        <f t="shared" si="184"/>
        <v>4950</v>
      </c>
      <c r="M1904" s="970">
        <f t="shared" si="185"/>
        <v>0.21063829787234042</v>
      </c>
    </row>
    <row r="1905" spans="3:13" hidden="1" x14ac:dyDescent="0.2">
      <c r="C1905" s="4" t="s">
        <v>194</v>
      </c>
      <c r="D1905" s="487">
        <f>D30</f>
        <v>75000</v>
      </c>
      <c r="E1905" s="487">
        <f>E30</f>
        <v>0</v>
      </c>
      <c r="F1905" s="487">
        <f>F30</f>
        <v>0</v>
      </c>
      <c r="G1905" s="487">
        <f>G30</f>
        <v>-30000</v>
      </c>
      <c r="H1905" s="487">
        <f t="shared" si="186"/>
        <v>45000</v>
      </c>
      <c r="I1905" s="487">
        <v>75000</v>
      </c>
      <c r="J1905" s="487">
        <f t="shared" si="182"/>
        <v>0</v>
      </c>
      <c r="K1905" s="970">
        <f t="shared" si="183"/>
        <v>0</v>
      </c>
      <c r="L1905" s="487">
        <f t="shared" si="184"/>
        <v>30000</v>
      </c>
      <c r="M1905" s="970">
        <f t="shared" si="185"/>
        <v>0.66666666666666663</v>
      </c>
    </row>
    <row r="1906" spans="3:13" hidden="1" x14ac:dyDescent="0.2">
      <c r="C1906" s="6" t="s">
        <v>792</v>
      </c>
      <c r="D1906" s="487">
        <f>D78</f>
        <v>5986979</v>
      </c>
      <c r="E1906" s="487">
        <f>E78</f>
        <v>0</v>
      </c>
      <c r="F1906" s="487">
        <f>F78</f>
        <v>-116120</v>
      </c>
      <c r="G1906" s="487">
        <f>G78</f>
        <v>-9150</v>
      </c>
      <c r="H1906" s="487">
        <f t="shared" si="186"/>
        <v>5861709</v>
      </c>
      <c r="I1906" s="487">
        <v>5888879</v>
      </c>
      <c r="J1906" s="487">
        <f t="shared" si="182"/>
        <v>-98100</v>
      </c>
      <c r="K1906" s="970">
        <f t="shared" si="183"/>
        <v>-1.6385559394813311E-2</v>
      </c>
      <c r="L1906" s="487">
        <f t="shared" si="184"/>
        <v>27170</v>
      </c>
      <c r="M1906" s="970">
        <f t="shared" si="185"/>
        <v>4.6351669794594038E-3</v>
      </c>
    </row>
    <row r="1907" spans="3:13" hidden="1" x14ac:dyDescent="0.2">
      <c r="C1907" s="4" t="s">
        <v>195</v>
      </c>
      <c r="D1907" s="487">
        <f>D300</f>
        <v>287801</v>
      </c>
      <c r="E1907" s="487">
        <f>E300</f>
        <v>0</v>
      </c>
      <c r="F1907" s="487">
        <f>F300</f>
        <v>-89593</v>
      </c>
      <c r="G1907" s="487">
        <f>G300</f>
        <v>0</v>
      </c>
      <c r="H1907" s="487">
        <f t="shared" si="186"/>
        <v>198208</v>
      </c>
      <c r="I1907" s="487">
        <v>265541</v>
      </c>
      <c r="J1907" s="487">
        <f t="shared" si="182"/>
        <v>-22260</v>
      </c>
      <c r="K1907" s="970">
        <f t="shared" si="183"/>
        <v>-7.7345109989193916E-2</v>
      </c>
      <c r="L1907" s="487">
        <f t="shared" si="184"/>
        <v>67333</v>
      </c>
      <c r="M1907" s="970">
        <f t="shared" si="185"/>
        <v>0.33970879076525667</v>
      </c>
    </row>
    <row r="1908" spans="3:13" hidden="1" x14ac:dyDescent="0.2">
      <c r="C1908" s="4" t="s">
        <v>120</v>
      </c>
      <c r="D1908" s="487">
        <f>D318</f>
        <v>32895770</v>
      </c>
      <c r="E1908" s="487">
        <f>E318</f>
        <v>0</v>
      </c>
      <c r="F1908" s="487">
        <f>F318</f>
        <v>-7115750</v>
      </c>
      <c r="G1908" s="487">
        <f>G318</f>
        <v>-749900</v>
      </c>
      <c r="H1908" s="487">
        <f t="shared" si="186"/>
        <v>25030120</v>
      </c>
      <c r="I1908" s="487">
        <v>28946290</v>
      </c>
      <c r="J1908" s="487">
        <f t="shared" si="182"/>
        <v>-3949480</v>
      </c>
      <c r="K1908" s="970">
        <f t="shared" si="183"/>
        <v>-0.12006042114229276</v>
      </c>
      <c r="L1908" s="487">
        <f t="shared" si="184"/>
        <v>3916170</v>
      </c>
      <c r="M1908" s="970">
        <f t="shared" si="185"/>
        <v>0.15645829904131503</v>
      </c>
    </row>
    <row r="1909" spans="3:13" hidden="1" x14ac:dyDescent="0.2">
      <c r="C1909" s="4" t="s">
        <v>783</v>
      </c>
      <c r="D1909" s="487">
        <f>D451</f>
        <v>9324758</v>
      </c>
      <c r="E1909" s="487">
        <f>E451</f>
        <v>0</v>
      </c>
      <c r="F1909" s="487">
        <f>F451</f>
        <v>-1184734</v>
      </c>
      <c r="G1909" s="487">
        <f>G451</f>
        <v>-1068151</v>
      </c>
      <c r="H1909" s="487">
        <f t="shared" si="186"/>
        <v>7071873</v>
      </c>
      <c r="I1909" s="487">
        <v>9431620</v>
      </c>
      <c r="J1909" s="487">
        <f t="shared" si="182"/>
        <v>106862</v>
      </c>
      <c r="K1909" s="970">
        <f t="shared" si="183"/>
        <v>1.1460029311216442E-2</v>
      </c>
      <c r="L1909" s="487">
        <f t="shared" si="184"/>
        <v>2359747</v>
      </c>
      <c r="M1909" s="970">
        <f t="shared" si="185"/>
        <v>0.33368062463791415</v>
      </c>
    </row>
    <row r="1910" spans="3:13" hidden="1" x14ac:dyDescent="0.2">
      <c r="C1910" s="4"/>
      <c r="D1910" s="487"/>
      <c r="E1910" s="487"/>
      <c r="F1910" s="487"/>
      <c r="G1910" s="487"/>
      <c r="H1910" s="487">
        <f t="shared" si="186"/>
        <v>0</v>
      </c>
      <c r="I1910" s="487">
        <v>0</v>
      </c>
      <c r="J1910" s="487">
        <f t="shared" si="182"/>
        <v>0</v>
      </c>
      <c r="K1910" s="970"/>
      <c r="L1910" s="487">
        <f t="shared" si="184"/>
        <v>0</v>
      </c>
      <c r="M1910" s="970"/>
    </row>
    <row r="1911" spans="3:13" hidden="1" x14ac:dyDescent="0.2">
      <c r="C1911" s="4" t="s">
        <v>202</v>
      </c>
      <c r="D1911" s="487">
        <f>D620</f>
        <v>19452200</v>
      </c>
      <c r="E1911" s="487">
        <f>E620</f>
        <v>0</v>
      </c>
      <c r="F1911" s="487">
        <f>F620</f>
        <v>3505511</v>
      </c>
      <c r="G1911" s="487">
        <f>G620</f>
        <v>1767490</v>
      </c>
      <c r="H1911" s="487">
        <f t="shared" si="186"/>
        <v>24725201</v>
      </c>
      <c r="I1911" s="487">
        <v>22490816</v>
      </c>
      <c r="J1911" s="487">
        <f t="shared" si="182"/>
        <v>3038616</v>
      </c>
      <c r="K1911" s="970">
        <f t="shared" si="183"/>
        <v>0.1562093747750897</v>
      </c>
      <c r="L1911" s="487">
        <f t="shared" si="184"/>
        <v>-2234385</v>
      </c>
      <c r="M1911" s="970">
        <f t="shared" si="185"/>
        <v>-9.0368729459469305E-2</v>
      </c>
    </row>
    <row r="1912" spans="3:13" hidden="1" x14ac:dyDescent="0.2">
      <c r="C1912" s="6" t="s">
        <v>873</v>
      </c>
      <c r="D1912" s="487">
        <f>D923</f>
        <v>5895341</v>
      </c>
      <c r="E1912" s="487">
        <f>E923</f>
        <v>0</v>
      </c>
      <c r="F1912" s="487">
        <f>F923</f>
        <v>835200</v>
      </c>
      <c r="G1912" s="487">
        <f>G923</f>
        <v>-154500</v>
      </c>
      <c r="H1912" s="487">
        <f t="shared" si="186"/>
        <v>6576041</v>
      </c>
      <c r="I1912" s="487">
        <v>6853000</v>
      </c>
      <c r="J1912" s="487">
        <f t="shared" si="182"/>
        <v>957659</v>
      </c>
      <c r="K1912" s="970">
        <f t="shared" si="183"/>
        <v>0.16244335993456527</v>
      </c>
      <c r="L1912" s="487">
        <f t="shared" si="184"/>
        <v>276959</v>
      </c>
      <c r="M1912" s="970">
        <f t="shared" si="185"/>
        <v>4.2116373666161756E-2</v>
      </c>
    </row>
    <row r="1913" spans="3:13" hidden="1" x14ac:dyDescent="0.2">
      <c r="C1913" s="4"/>
      <c r="D1913" s="487"/>
      <c r="E1913" s="487"/>
      <c r="F1913" s="487"/>
      <c r="G1913" s="487"/>
      <c r="H1913" s="487">
        <f t="shared" si="186"/>
        <v>0</v>
      </c>
      <c r="I1913" s="487">
        <v>0</v>
      </c>
      <c r="J1913" s="487">
        <f t="shared" si="182"/>
        <v>0</v>
      </c>
      <c r="K1913" s="970"/>
      <c r="L1913" s="487">
        <f t="shared" si="184"/>
        <v>0</v>
      </c>
      <c r="M1913" s="970"/>
    </row>
    <row r="1914" spans="3:13" hidden="1" x14ac:dyDescent="0.2">
      <c r="C1914" s="6" t="s">
        <v>875</v>
      </c>
      <c r="D1914" s="487">
        <f>D975</f>
        <v>1339290</v>
      </c>
      <c r="E1914" s="487">
        <f>E975</f>
        <v>0</v>
      </c>
      <c r="F1914" s="487">
        <f>F975</f>
        <v>-5635</v>
      </c>
      <c r="G1914" s="487">
        <f>G975</f>
        <v>0</v>
      </c>
      <c r="H1914" s="487">
        <f t="shared" si="186"/>
        <v>1333655</v>
      </c>
      <c r="I1914" s="487">
        <v>1367700</v>
      </c>
      <c r="J1914" s="487">
        <f t="shared" si="182"/>
        <v>28410</v>
      </c>
      <c r="K1914" s="970">
        <f t="shared" si="183"/>
        <v>2.1212732119257217E-2</v>
      </c>
      <c r="L1914" s="487">
        <f t="shared" si="184"/>
        <v>34045</v>
      </c>
      <c r="M1914" s="970">
        <f t="shared" si="185"/>
        <v>2.5527591468558212E-2</v>
      </c>
    </row>
    <row r="1915" spans="3:13" hidden="1" x14ac:dyDescent="0.2">
      <c r="C1915" s="6" t="s">
        <v>876</v>
      </c>
      <c r="D1915" s="487">
        <f>D1067</f>
        <v>3463227</v>
      </c>
      <c r="E1915" s="487">
        <f>E1067</f>
        <v>0</v>
      </c>
      <c r="F1915" s="487">
        <f>F1067</f>
        <v>-98426</v>
      </c>
      <c r="G1915" s="487">
        <f>G1067</f>
        <v>-43449</v>
      </c>
      <c r="H1915" s="487">
        <f t="shared" si="186"/>
        <v>3321352</v>
      </c>
      <c r="I1915" s="487">
        <v>3622320</v>
      </c>
      <c r="J1915" s="487">
        <f t="shared" si="182"/>
        <v>159093</v>
      </c>
      <c r="K1915" s="970">
        <f t="shared" si="183"/>
        <v>4.5937791545284212E-2</v>
      </c>
      <c r="L1915" s="487">
        <f t="shared" si="184"/>
        <v>300968</v>
      </c>
      <c r="M1915" s="970">
        <f t="shared" si="185"/>
        <v>9.0616110547752843E-2</v>
      </c>
    </row>
    <row r="1916" spans="3:13" hidden="1" x14ac:dyDescent="0.2">
      <c r="C1916" s="4" t="s">
        <v>901</v>
      </c>
      <c r="D1916" s="487">
        <f>D1185</f>
        <v>9600</v>
      </c>
      <c r="E1916" s="487">
        <f>E1185</f>
        <v>0</v>
      </c>
      <c r="F1916" s="487">
        <f>F1185</f>
        <v>0</v>
      </c>
      <c r="G1916" s="487">
        <f>G1185</f>
        <v>0</v>
      </c>
      <c r="H1916" s="487">
        <f t="shared" si="186"/>
        <v>9600</v>
      </c>
      <c r="I1916" s="487">
        <v>9600</v>
      </c>
      <c r="J1916" s="487">
        <f t="shared" si="182"/>
        <v>0</v>
      </c>
      <c r="K1916" s="970">
        <f t="shared" si="183"/>
        <v>0</v>
      </c>
      <c r="L1916" s="487">
        <f t="shared" si="184"/>
        <v>0</v>
      </c>
      <c r="M1916" s="970">
        <f t="shared" si="185"/>
        <v>0</v>
      </c>
    </row>
    <row r="1917" spans="3:13" hidden="1" x14ac:dyDescent="0.2">
      <c r="C1917" s="4" t="s">
        <v>902</v>
      </c>
      <c r="D1917" s="487">
        <f>D1207</f>
        <v>0</v>
      </c>
      <c r="E1917" s="487">
        <f>E1207</f>
        <v>0</v>
      </c>
      <c r="F1917" s="487">
        <f>F1207</f>
        <v>0</v>
      </c>
      <c r="G1917" s="487">
        <f>G1207</f>
        <v>0</v>
      </c>
      <c r="H1917" s="487">
        <f t="shared" si="186"/>
        <v>0</v>
      </c>
      <c r="I1917" s="487">
        <v>20000</v>
      </c>
      <c r="J1917" s="487">
        <f t="shared" ref="J1917:J1926" si="194">I1917-D1917</f>
        <v>20000</v>
      </c>
      <c r="K1917" s="970"/>
      <c r="L1917" s="487">
        <f t="shared" ref="L1917:L1926" si="195">I1917-H1917</f>
        <v>20000</v>
      </c>
      <c r="M1917" s="970"/>
    </row>
    <row r="1918" spans="3:13" hidden="1" x14ac:dyDescent="0.2">
      <c r="C1918" s="4" t="s">
        <v>270</v>
      </c>
      <c r="D1918" s="487">
        <f>D1232</f>
        <v>476820</v>
      </c>
      <c r="E1918" s="487">
        <f>E1232</f>
        <v>0</v>
      </c>
      <c r="F1918" s="487">
        <f>F1232</f>
        <v>-37640</v>
      </c>
      <c r="G1918" s="487">
        <f>G1232</f>
        <v>-14800</v>
      </c>
      <c r="H1918" s="487">
        <f t="shared" si="186"/>
        <v>424380</v>
      </c>
      <c r="I1918" s="487">
        <v>483330</v>
      </c>
      <c r="J1918" s="487">
        <f t="shared" si="194"/>
        <v>6510</v>
      </c>
      <c r="K1918" s="970">
        <f t="shared" ref="K1918:K1926" si="196">J1918/D1918</f>
        <v>1.3652950799043665E-2</v>
      </c>
      <c r="L1918" s="487">
        <f t="shared" si="195"/>
        <v>58950</v>
      </c>
      <c r="M1918" s="970">
        <f t="shared" ref="M1918:M1926" si="197">L1918/H1918</f>
        <v>0.13890852537819878</v>
      </c>
    </row>
    <row r="1919" spans="3:13" hidden="1" x14ac:dyDescent="0.2">
      <c r="C1919" s="4" t="s">
        <v>468</v>
      </c>
      <c r="D1919" s="487">
        <f>D1287</f>
        <v>4634610</v>
      </c>
      <c r="E1919" s="487">
        <f>E1287</f>
        <v>0</v>
      </c>
      <c r="F1919" s="487">
        <f>F1287</f>
        <v>-1559400</v>
      </c>
      <c r="G1919" s="487">
        <f>G1287</f>
        <v>-723450</v>
      </c>
      <c r="H1919" s="487">
        <f t="shared" si="186"/>
        <v>2351760</v>
      </c>
      <c r="I1919" s="487">
        <v>4483100</v>
      </c>
      <c r="J1919" s="487">
        <f t="shared" si="194"/>
        <v>-151510</v>
      </c>
      <c r="K1919" s="970">
        <f t="shared" si="196"/>
        <v>-3.2690992338082384E-2</v>
      </c>
      <c r="L1919" s="487">
        <f t="shared" si="195"/>
        <v>2131340</v>
      </c>
      <c r="M1919" s="970">
        <f t="shared" si="197"/>
        <v>0.90627444977378646</v>
      </c>
    </row>
    <row r="1920" spans="3:13" hidden="1" x14ac:dyDescent="0.2">
      <c r="C1920" s="4" t="s">
        <v>277</v>
      </c>
      <c r="D1920" s="487">
        <f>D1372</f>
        <v>329796</v>
      </c>
      <c r="E1920" s="487">
        <f>E1372</f>
        <v>0</v>
      </c>
      <c r="F1920" s="487">
        <f>F1372</f>
        <v>17475</v>
      </c>
      <c r="G1920" s="487">
        <f>G1372</f>
        <v>10190</v>
      </c>
      <c r="H1920" s="487">
        <f t="shared" si="186"/>
        <v>357461</v>
      </c>
      <c r="I1920" s="487">
        <v>336203</v>
      </c>
      <c r="J1920" s="487">
        <f t="shared" si="194"/>
        <v>6407</v>
      </c>
      <c r="K1920" s="970">
        <f t="shared" si="196"/>
        <v>1.9427161032880932E-2</v>
      </c>
      <c r="L1920" s="487">
        <f t="shared" si="195"/>
        <v>-21258</v>
      </c>
      <c r="M1920" s="970">
        <f t="shared" si="197"/>
        <v>-5.9469424636533777E-2</v>
      </c>
    </row>
    <row r="1921" spans="3:13" hidden="1" x14ac:dyDescent="0.2">
      <c r="C1921" s="4" t="s">
        <v>278</v>
      </c>
      <c r="D1921" s="487">
        <f>D1423</f>
        <v>986945</v>
      </c>
      <c r="E1921" s="487">
        <f>E1423</f>
        <v>0</v>
      </c>
      <c r="F1921" s="487">
        <f>F1423</f>
        <v>-5185</v>
      </c>
      <c r="G1921" s="487">
        <f>G1423</f>
        <v>31245</v>
      </c>
      <c r="H1921" s="487">
        <f t="shared" si="186"/>
        <v>1013005</v>
      </c>
      <c r="I1921" s="487">
        <v>997575</v>
      </c>
      <c r="J1921" s="487">
        <f t="shared" si="194"/>
        <v>10630</v>
      </c>
      <c r="K1921" s="970">
        <f t="shared" si="196"/>
        <v>1.0770610317697542E-2</v>
      </c>
      <c r="L1921" s="487">
        <f t="shared" si="195"/>
        <v>-15430</v>
      </c>
      <c r="M1921" s="970">
        <f t="shared" si="197"/>
        <v>-1.5231909023153883E-2</v>
      </c>
    </row>
    <row r="1922" spans="3:13" hidden="1" x14ac:dyDescent="0.2">
      <c r="C1922" s="4" t="s">
        <v>279</v>
      </c>
      <c r="D1922" s="487">
        <f>D1495</f>
        <v>837847</v>
      </c>
      <c r="E1922" s="487">
        <f>E1495</f>
        <v>0</v>
      </c>
      <c r="F1922" s="487">
        <f>F1495</f>
        <v>-16231</v>
      </c>
      <c r="G1922" s="487">
        <f>G1495</f>
        <v>-60343</v>
      </c>
      <c r="H1922" s="487">
        <f t="shared" si="186"/>
        <v>761273</v>
      </c>
      <c r="I1922" s="487">
        <v>862275</v>
      </c>
      <c r="J1922" s="487">
        <f t="shared" si="194"/>
        <v>24428</v>
      </c>
      <c r="K1922" s="970">
        <f t="shared" si="196"/>
        <v>2.9155681168518834E-2</v>
      </c>
      <c r="L1922" s="487">
        <f t="shared" si="195"/>
        <v>101002</v>
      </c>
      <c r="M1922" s="970">
        <f t="shared" si="197"/>
        <v>0.13267513756563021</v>
      </c>
    </row>
    <row r="1923" spans="3:13" hidden="1" x14ac:dyDescent="0.2">
      <c r="C1923" s="4" t="s">
        <v>280</v>
      </c>
      <c r="D1923" s="487">
        <f>D1556</f>
        <v>769195</v>
      </c>
      <c r="E1923" s="487">
        <f>E1556</f>
        <v>0</v>
      </c>
      <c r="F1923" s="487">
        <f>F1556</f>
        <v>-103200</v>
      </c>
      <c r="G1923" s="487">
        <f>G1556</f>
        <v>-33800</v>
      </c>
      <c r="H1923" s="487">
        <f t="shared" ref="H1923:H1941" si="198">D1923+E1923+F1923+G1923</f>
        <v>632195</v>
      </c>
      <c r="I1923" s="487">
        <v>772655</v>
      </c>
      <c r="J1923" s="487">
        <f t="shared" si="194"/>
        <v>3460</v>
      </c>
      <c r="K1923" s="970">
        <f t="shared" si="196"/>
        <v>4.498209166726253E-3</v>
      </c>
      <c r="L1923" s="487">
        <f t="shared" si="195"/>
        <v>140460</v>
      </c>
      <c r="M1923" s="970">
        <f t="shared" si="197"/>
        <v>0.22217828359920594</v>
      </c>
    </row>
    <row r="1924" spans="3:13" hidden="1" x14ac:dyDescent="0.2">
      <c r="C1924" s="4" t="s">
        <v>281</v>
      </c>
      <c r="D1924" s="487">
        <f>D1628</f>
        <v>284545</v>
      </c>
      <c r="E1924" s="487">
        <f>E1628</f>
        <v>0</v>
      </c>
      <c r="F1924" s="487">
        <f>F1628</f>
        <v>-42540</v>
      </c>
      <c r="G1924" s="487">
        <f>G1628</f>
        <v>-17050</v>
      </c>
      <c r="H1924" s="487">
        <f t="shared" si="198"/>
        <v>224955</v>
      </c>
      <c r="I1924" s="487">
        <v>268940</v>
      </c>
      <c r="J1924" s="487">
        <f t="shared" si="194"/>
        <v>-15605</v>
      </c>
      <c r="K1924" s="970">
        <f t="shared" si="196"/>
        <v>-5.4841940642077702E-2</v>
      </c>
      <c r="L1924" s="487">
        <f t="shared" si="195"/>
        <v>43985</v>
      </c>
      <c r="M1924" s="970">
        <f t="shared" si="197"/>
        <v>0.19552799448778643</v>
      </c>
    </row>
    <row r="1925" spans="3:13" hidden="1" x14ac:dyDescent="0.2">
      <c r="C1925" s="4" t="s">
        <v>282</v>
      </c>
      <c r="D1925" s="487">
        <f>D1680</f>
        <v>1323784</v>
      </c>
      <c r="E1925" s="487">
        <f>E1680</f>
        <v>0</v>
      </c>
      <c r="F1925" s="487">
        <f>F1680</f>
        <v>-87830</v>
      </c>
      <c r="G1925" s="487">
        <f>G1680</f>
        <v>534</v>
      </c>
      <c r="H1925" s="487">
        <f t="shared" si="198"/>
        <v>1236488</v>
      </c>
      <c r="I1925" s="487">
        <v>1524113</v>
      </c>
      <c r="J1925" s="487">
        <f t="shared" si="194"/>
        <v>200329</v>
      </c>
      <c r="K1925" s="970">
        <f t="shared" si="196"/>
        <v>0.15133057961117524</v>
      </c>
      <c r="L1925" s="487">
        <f t="shared" si="195"/>
        <v>287625</v>
      </c>
      <c r="M1925" s="970">
        <f t="shared" si="197"/>
        <v>0.23261446936808122</v>
      </c>
    </row>
    <row r="1926" spans="3:13" hidden="1" x14ac:dyDescent="0.2">
      <c r="C1926" s="467" t="s">
        <v>903</v>
      </c>
      <c r="D1926" s="472">
        <f>SUM(D1904:D1925)</f>
        <v>88401958</v>
      </c>
      <c r="E1926" s="472">
        <f t="shared" ref="E1926" si="199">SUM(E1904:E1925)</f>
        <v>0</v>
      </c>
      <c r="F1926" s="472">
        <f t="shared" ref="F1926:G1926" si="200">SUM(F1904:F1925)</f>
        <v>-6109048</v>
      </c>
      <c r="G1926" s="472">
        <f t="shared" si="200"/>
        <v>-1095134</v>
      </c>
      <c r="H1926" s="472">
        <f t="shared" si="198"/>
        <v>81197776</v>
      </c>
      <c r="I1926" s="472">
        <v>88727407</v>
      </c>
      <c r="J1926" s="472">
        <f t="shared" si="194"/>
        <v>325449</v>
      </c>
      <c r="K1926" s="972">
        <f t="shared" si="196"/>
        <v>3.6814682317330575E-3</v>
      </c>
      <c r="L1926" s="472">
        <f t="shared" si="195"/>
        <v>7529631</v>
      </c>
      <c r="M1926" s="972">
        <f t="shared" si="197"/>
        <v>9.2731985664237904E-2</v>
      </c>
    </row>
    <row r="1927" spans="3:13" x14ac:dyDescent="0.2">
      <c r="D1927" s="61">
        <f ca="1">D1926-D1765</f>
        <v>0</v>
      </c>
      <c r="E1927" s="54">
        <f ca="1">E1926-E1765</f>
        <v>0</v>
      </c>
      <c r="F1927" s="54">
        <f ca="1">F1926-F1765</f>
        <v>0</v>
      </c>
      <c r="G1927" s="54">
        <f ca="1">G1926-G1765</f>
        <v>0</v>
      </c>
      <c r="H1927">
        <f t="shared" ca="1" si="198"/>
        <v>0</v>
      </c>
      <c r="I1927" s="486">
        <v>0</v>
      </c>
      <c r="J1927" s="486"/>
      <c r="K1927" s="543"/>
      <c r="L1927" s="486"/>
      <c r="M1927" s="543"/>
    </row>
    <row r="1928" spans="3:13" x14ac:dyDescent="0.2">
      <c r="D1928" s="12"/>
      <c r="E1928" s="486"/>
      <c r="H1928">
        <f t="shared" si="198"/>
        <v>0</v>
      </c>
      <c r="I1928" s="486"/>
      <c r="J1928" s="486"/>
      <c r="K1928" s="543"/>
      <c r="L1928" s="486"/>
      <c r="M1928" s="543"/>
    </row>
    <row r="1929" spans="3:13" x14ac:dyDescent="0.2">
      <c r="D1929" s="12"/>
      <c r="E1929" s="486"/>
      <c r="H1929">
        <f t="shared" si="198"/>
        <v>0</v>
      </c>
      <c r="I1929" s="486"/>
    </row>
    <row r="1930" spans="3:13" x14ac:dyDescent="0.2">
      <c r="D1930" s="12"/>
      <c r="E1930" s="486"/>
      <c r="H1930">
        <f t="shared" si="198"/>
        <v>0</v>
      </c>
      <c r="I1930" s="486"/>
    </row>
    <row r="1931" spans="3:13" x14ac:dyDescent="0.2">
      <c r="D1931" s="12"/>
      <c r="E1931" s="486"/>
      <c r="H1931">
        <f t="shared" si="198"/>
        <v>0</v>
      </c>
      <c r="I1931" s="486"/>
    </row>
    <row r="1932" spans="3:13" x14ac:dyDescent="0.2">
      <c r="D1932" s="12"/>
      <c r="E1932" s="486"/>
      <c r="H1932">
        <f t="shared" si="198"/>
        <v>0</v>
      </c>
      <c r="I1932" s="486"/>
    </row>
    <row r="1933" spans="3:13" x14ac:dyDescent="0.2">
      <c r="D1933" s="12"/>
      <c r="E1933" s="486"/>
      <c r="H1933">
        <f t="shared" si="198"/>
        <v>0</v>
      </c>
      <c r="I1933" s="486"/>
    </row>
    <row r="1934" spans="3:13" x14ac:dyDescent="0.2">
      <c r="D1934" s="12"/>
      <c r="E1934" s="486"/>
      <c r="H1934">
        <f t="shared" si="198"/>
        <v>0</v>
      </c>
    </row>
    <row r="1935" spans="3:13" x14ac:dyDescent="0.2">
      <c r="D1935" s="12"/>
      <c r="E1935" s="486"/>
      <c r="H1935">
        <f t="shared" si="198"/>
        <v>0</v>
      </c>
    </row>
    <row r="1936" spans="3:13" x14ac:dyDescent="0.2">
      <c r="D1936" s="12"/>
      <c r="E1936" s="486"/>
      <c r="H1936">
        <f t="shared" si="198"/>
        <v>0</v>
      </c>
    </row>
    <row r="1937" spans="4:8" x14ac:dyDescent="0.2">
      <c r="D1937" s="12"/>
      <c r="E1937" s="486"/>
      <c r="H1937">
        <f t="shared" si="198"/>
        <v>0</v>
      </c>
    </row>
    <row r="1938" spans="4:8" x14ac:dyDescent="0.2">
      <c r="D1938" s="12"/>
      <c r="E1938" s="486"/>
      <c r="H1938">
        <f t="shared" si="198"/>
        <v>0</v>
      </c>
    </row>
    <row r="1939" spans="4:8" x14ac:dyDescent="0.2">
      <c r="E1939" s="486"/>
      <c r="H1939">
        <f t="shared" si="198"/>
        <v>0</v>
      </c>
    </row>
    <row r="1940" spans="4:8" x14ac:dyDescent="0.2">
      <c r="E1940" s="486"/>
      <c r="H1940">
        <f t="shared" si="198"/>
        <v>0</v>
      </c>
    </row>
    <row r="1941" spans="4:8" x14ac:dyDescent="0.2">
      <c r="E1941" s="486"/>
      <c r="H1941">
        <f t="shared" si="198"/>
        <v>0</v>
      </c>
    </row>
    <row r="1942" spans="4:8" x14ac:dyDescent="0.2">
      <c r="E1942" s="486"/>
    </row>
  </sheetData>
  <autoFilter ref="C3:M1941" xr:uid="{06288CAD-F302-48C4-87A6-8288B08BE748}"/>
  <mergeCells count="6">
    <mergeCell ref="L2:M2"/>
    <mergeCell ref="D2:H2"/>
    <mergeCell ref="J2:K2"/>
    <mergeCell ref="D1774:H1774"/>
    <mergeCell ref="J1774:K1774"/>
    <mergeCell ref="L1774:M1774"/>
  </mergeCells>
  <pageMargins left="1.1811023622047245" right="0.47244094488188981" top="0.47244094488188981" bottom="0.98425196850393704" header="0.31496062992125984" footer="0.31496062992125984"/>
  <pageSetup paperSize="9" orientation="portrait" r:id="rId1"/>
  <headerFooter>
    <oddFooter>&amp;C&amp;P/&amp;N</oddFooter>
  </headerFooter>
  <rowBreaks count="1" manualBreakCount="1">
    <brk id="1759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8F7FB-0670-47BF-89A7-9C0BAF86305D}">
  <sheetPr>
    <tabColor theme="9" tint="0.79998168889431442"/>
  </sheetPr>
  <dimension ref="A1:K17"/>
  <sheetViews>
    <sheetView workbookViewId="0">
      <selection activeCell="A9" sqref="A9"/>
    </sheetView>
  </sheetViews>
  <sheetFormatPr defaultRowHeight="12.75" x14ac:dyDescent="0.2"/>
  <cols>
    <col min="1" max="1" width="23.5703125" style="977" bestFit="1" customWidth="1"/>
    <col min="2" max="2" width="11.140625" style="977" bestFit="1" customWidth="1"/>
    <col min="3" max="3" width="12.140625" style="977" hidden="1" customWidth="1"/>
    <col min="4" max="4" width="10.7109375" style="977" hidden="1" customWidth="1"/>
    <col min="5" max="7" width="11.140625" style="977" bestFit="1" customWidth="1"/>
    <col min="8" max="8" width="9.140625" style="977"/>
    <col min="9" max="9" width="11.140625" style="977" bestFit="1" customWidth="1"/>
    <col min="10" max="10" width="9.140625" style="977"/>
    <col min="11" max="11" width="10.42578125" style="977" customWidth="1"/>
    <col min="12" max="16384" width="9.140625" style="977"/>
  </cols>
  <sheetData>
    <row r="1" spans="1:11" ht="15" x14ac:dyDescent="0.25">
      <c r="A1" s="162" t="s">
        <v>1150</v>
      </c>
      <c r="B1" s="243"/>
      <c r="C1" s="243"/>
      <c r="D1" s="243"/>
      <c r="E1" s="59"/>
      <c r="F1" s="521"/>
      <c r="G1" s="59"/>
      <c r="H1" s="59"/>
      <c r="I1" s="59"/>
      <c r="J1" s="59"/>
    </row>
    <row r="2" spans="1:11" ht="35.25" customHeight="1" x14ac:dyDescent="0.2">
      <c r="B2" s="1000">
        <v>2021</v>
      </c>
      <c r="C2" s="1001"/>
      <c r="D2" s="1001"/>
      <c r="E2" s="1002"/>
      <c r="F2" s="807">
        <v>2022</v>
      </c>
      <c r="G2" s="998" t="s">
        <v>1075</v>
      </c>
      <c r="H2" s="999"/>
      <c r="I2" s="996" t="s">
        <v>1076</v>
      </c>
      <c r="J2" s="997"/>
      <c r="K2" s="807">
        <v>2022</v>
      </c>
    </row>
    <row r="3" spans="1:11" ht="25.5" x14ac:dyDescent="0.2">
      <c r="B3" s="813" t="s">
        <v>859</v>
      </c>
      <c r="C3" s="813" t="s">
        <v>984</v>
      </c>
      <c r="D3" s="813" t="s">
        <v>1066</v>
      </c>
      <c r="E3" s="813" t="s">
        <v>860</v>
      </c>
      <c r="F3" s="808" t="s">
        <v>1074</v>
      </c>
      <c r="G3" s="809" t="s">
        <v>53</v>
      </c>
      <c r="H3" s="810" t="s">
        <v>981</v>
      </c>
      <c r="I3" s="811" t="s">
        <v>53</v>
      </c>
      <c r="J3" s="812" t="s">
        <v>981</v>
      </c>
      <c r="K3" s="808" t="s">
        <v>1147</v>
      </c>
    </row>
    <row r="4" spans="1:11" x14ac:dyDescent="0.2">
      <c r="A4" s="984" t="s">
        <v>52</v>
      </c>
      <c r="B4" s="986">
        <v>165971042</v>
      </c>
      <c r="C4" s="986">
        <v>-4118914</v>
      </c>
      <c r="D4" s="986">
        <f>SUM(D5:D17)</f>
        <v>-22192431</v>
      </c>
      <c r="E4" s="986">
        <f t="shared" ref="E4:E17" si="0">SUM(B4:D4)</f>
        <v>139659697</v>
      </c>
      <c r="F4" s="985">
        <f>SUM(F5:F17)</f>
        <v>269046681</v>
      </c>
      <c r="G4" s="985">
        <f t="shared" ref="G4:G17" si="1">F4-B4</f>
        <v>103075639</v>
      </c>
      <c r="H4" s="987">
        <f t="shared" ref="H4:H17" si="2">G4/B4</f>
        <v>0.6210459231797798</v>
      </c>
      <c r="I4" s="985">
        <f t="shared" ref="I4:I17" si="3">F4-E4</f>
        <v>129386984</v>
      </c>
      <c r="J4" s="987">
        <f>I4/E4</f>
        <v>0.92644468504038069</v>
      </c>
      <c r="K4" s="993">
        <f>F4/$F$4</f>
        <v>1</v>
      </c>
    </row>
    <row r="5" spans="1:11" x14ac:dyDescent="0.2">
      <c r="A5" s="988" t="s">
        <v>1148</v>
      </c>
      <c r="B5" s="990">
        <v>2300000</v>
      </c>
      <c r="C5" s="990">
        <v>-794299</v>
      </c>
      <c r="D5" s="990">
        <v>0</v>
      </c>
      <c r="E5" s="990">
        <f t="shared" si="0"/>
        <v>1505701</v>
      </c>
      <c r="F5" s="989">
        <v>1000000</v>
      </c>
      <c r="G5" s="989">
        <f t="shared" si="1"/>
        <v>-1300000</v>
      </c>
      <c r="H5" s="991">
        <f t="shared" si="2"/>
        <v>-0.56521739130434778</v>
      </c>
      <c r="I5" s="989">
        <f t="shared" si="3"/>
        <v>-505701</v>
      </c>
      <c r="J5" s="991">
        <f t="shared" ref="J5:J17" si="4">I5/E5</f>
        <v>-0.33585751752838044</v>
      </c>
      <c r="K5" s="994">
        <f t="shared" ref="K5:K17" si="5">F5/$F$4</f>
        <v>3.7168271181906905E-3</v>
      </c>
    </row>
    <row r="6" spans="1:11" x14ac:dyDescent="0.2">
      <c r="A6" s="988" t="s">
        <v>494</v>
      </c>
      <c r="B6" s="990">
        <v>48417839</v>
      </c>
      <c r="C6" s="990">
        <v>802302</v>
      </c>
      <c r="D6" s="990">
        <v>-2834070</v>
      </c>
      <c r="E6" s="990">
        <f t="shared" si="0"/>
        <v>46386071</v>
      </c>
      <c r="F6" s="989">
        <v>59891754</v>
      </c>
      <c r="G6" s="989">
        <f t="shared" si="1"/>
        <v>11473915</v>
      </c>
      <c r="H6" s="991">
        <f t="shared" si="2"/>
        <v>0.23697701584740286</v>
      </c>
      <c r="I6" s="989">
        <f t="shared" si="3"/>
        <v>13505683</v>
      </c>
      <c r="J6" s="991">
        <f t="shared" si="4"/>
        <v>0.29115815823245733</v>
      </c>
      <c r="K6" s="994">
        <f t="shared" si="5"/>
        <v>0.22260729542320576</v>
      </c>
    </row>
    <row r="7" spans="1:11" x14ac:dyDescent="0.2">
      <c r="A7" s="988" t="s">
        <v>1149</v>
      </c>
      <c r="B7" s="990">
        <v>16809868</v>
      </c>
      <c r="C7" s="990">
        <v>-4775406</v>
      </c>
      <c r="D7" s="990">
        <v>-2699080</v>
      </c>
      <c r="E7" s="990">
        <f t="shared" si="0"/>
        <v>9335382</v>
      </c>
      <c r="F7" s="989">
        <v>28939028</v>
      </c>
      <c r="G7" s="989">
        <f t="shared" si="1"/>
        <v>12129160</v>
      </c>
      <c r="H7" s="991">
        <f t="shared" si="2"/>
        <v>0.72154998480654342</v>
      </c>
      <c r="I7" s="989">
        <f t="shared" si="3"/>
        <v>19603646</v>
      </c>
      <c r="J7" s="991">
        <f t="shared" si="4"/>
        <v>2.0999297082861741</v>
      </c>
      <c r="K7" s="994">
        <f t="shared" si="5"/>
        <v>0.1075613640444797</v>
      </c>
    </row>
    <row r="8" spans="1:11" x14ac:dyDescent="0.2">
      <c r="A8" s="988" t="s">
        <v>850</v>
      </c>
      <c r="B8" s="990">
        <f>5817334+30500</f>
        <v>5847834</v>
      </c>
      <c r="C8" s="990">
        <v>259167</v>
      </c>
      <c r="D8" s="990">
        <v>-660395</v>
      </c>
      <c r="E8" s="990">
        <f t="shared" si="0"/>
        <v>5446606</v>
      </c>
      <c r="F8" s="989">
        <v>9639000</v>
      </c>
      <c r="G8" s="989">
        <f t="shared" si="1"/>
        <v>3791166</v>
      </c>
      <c r="H8" s="991">
        <f t="shared" si="2"/>
        <v>0.64830260229685044</v>
      </c>
      <c r="I8" s="989">
        <f t="shared" si="3"/>
        <v>4192394</v>
      </c>
      <c r="J8" s="991">
        <f t="shared" si="4"/>
        <v>0.76972595410793432</v>
      </c>
      <c r="K8" s="994">
        <f t="shared" si="5"/>
        <v>3.5826496592240069E-2</v>
      </c>
    </row>
    <row r="9" spans="1:11" x14ac:dyDescent="0.2">
      <c r="A9" s="988" t="s">
        <v>227</v>
      </c>
      <c r="B9" s="990">
        <v>9224000</v>
      </c>
      <c r="C9" s="990">
        <v>-2366850</v>
      </c>
      <c r="D9" s="990">
        <v>-402160</v>
      </c>
      <c r="E9" s="990">
        <f t="shared" si="0"/>
        <v>6454990</v>
      </c>
      <c r="F9" s="989">
        <v>10012700</v>
      </c>
      <c r="G9" s="989">
        <f t="shared" si="1"/>
        <v>788700</v>
      </c>
      <c r="H9" s="991">
        <f t="shared" si="2"/>
        <v>8.5505203816131831E-2</v>
      </c>
      <c r="I9" s="989">
        <f t="shared" si="3"/>
        <v>3557710</v>
      </c>
      <c r="J9" s="991">
        <f t="shared" si="4"/>
        <v>0.55115654710541762</v>
      </c>
      <c r="K9" s="994">
        <f t="shared" si="5"/>
        <v>3.7215474886307928E-2</v>
      </c>
    </row>
    <row r="10" spans="1:11" x14ac:dyDescent="0.2">
      <c r="A10" s="988" t="s">
        <v>240</v>
      </c>
      <c r="B10" s="990">
        <v>2185760</v>
      </c>
      <c r="C10" s="990">
        <v>34131</v>
      </c>
      <c r="D10" s="990"/>
      <c r="E10" s="990">
        <f t="shared" si="0"/>
        <v>2219891</v>
      </c>
      <c r="F10" s="989">
        <v>14387000</v>
      </c>
      <c r="G10" s="989">
        <f t="shared" si="1"/>
        <v>12201240</v>
      </c>
      <c r="H10" s="991">
        <f t="shared" si="2"/>
        <v>5.5821499158187544</v>
      </c>
      <c r="I10" s="989">
        <f t="shared" si="3"/>
        <v>12167109</v>
      </c>
      <c r="J10" s="991">
        <f t="shared" si="4"/>
        <v>5.4809488393799519</v>
      </c>
      <c r="K10" s="994">
        <f t="shared" si="5"/>
        <v>5.3473991749409464E-2</v>
      </c>
    </row>
    <row r="11" spans="1:11" x14ac:dyDescent="0.2">
      <c r="A11" s="988" t="s">
        <v>496</v>
      </c>
      <c r="B11" s="990">
        <v>4170000</v>
      </c>
      <c r="C11" s="990">
        <v>800000</v>
      </c>
      <c r="D11" s="990">
        <v>268342</v>
      </c>
      <c r="E11" s="990">
        <f t="shared" si="0"/>
        <v>5238342</v>
      </c>
      <c r="F11" s="989">
        <v>12535000</v>
      </c>
      <c r="G11" s="989">
        <f t="shared" si="1"/>
        <v>8365000</v>
      </c>
      <c r="H11" s="991">
        <f t="shared" si="2"/>
        <v>2.0059952038369304</v>
      </c>
      <c r="I11" s="989">
        <f t="shared" si="3"/>
        <v>7296658</v>
      </c>
      <c r="J11" s="991">
        <f t="shared" si="4"/>
        <v>1.392932725660142</v>
      </c>
      <c r="K11" s="994">
        <f t="shared" si="5"/>
        <v>4.6590427926520309E-2</v>
      </c>
    </row>
    <row r="12" spans="1:11" x14ac:dyDescent="0.2">
      <c r="A12" s="988" t="s">
        <v>503</v>
      </c>
      <c r="B12" s="990">
        <v>421900</v>
      </c>
      <c r="C12" s="990">
        <v>323000</v>
      </c>
      <c r="D12" s="990">
        <v>9816</v>
      </c>
      <c r="E12" s="990">
        <f t="shared" si="0"/>
        <v>754716</v>
      </c>
      <c r="F12" s="989">
        <v>501900</v>
      </c>
      <c r="G12" s="989">
        <f t="shared" si="1"/>
        <v>80000</v>
      </c>
      <c r="H12" s="991">
        <f t="shared" si="2"/>
        <v>0.18961839298411945</v>
      </c>
      <c r="I12" s="989">
        <f t="shared" si="3"/>
        <v>-252816</v>
      </c>
      <c r="J12" s="991">
        <f t="shared" si="4"/>
        <v>-0.33498163547612614</v>
      </c>
      <c r="K12" s="994">
        <f t="shared" si="5"/>
        <v>1.8654755306199075E-3</v>
      </c>
    </row>
    <row r="13" spans="1:11" x14ac:dyDescent="0.2">
      <c r="A13" s="988" t="s">
        <v>497</v>
      </c>
      <c r="B13" s="990">
        <v>3657000</v>
      </c>
      <c r="C13" s="990">
        <v>225800</v>
      </c>
      <c r="D13" s="990">
        <v>-2100000</v>
      </c>
      <c r="E13" s="990">
        <f t="shared" si="0"/>
        <v>1782800</v>
      </c>
      <c r="F13" s="989">
        <v>42788551</v>
      </c>
      <c r="G13" s="989">
        <f t="shared" si="1"/>
        <v>39131551</v>
      </c>
      <c r="H13" s="991">
        <f t="shared" si="2"/>
        <v>10.700451462947772</v>
      </c>
      <c r="I13" s="989">
        <f t="shared" si="3"/>
        <v>41005751</v>
      </c>
      <c r="J13" s="991">
        <f t="shared" si="4"/>
        <v>23.000757796724255</v>
      </c>
      <c r="K13" s="994">
        <f t="shared" si="5"/>
        <v>0.15903764670488538</v>
      </c>
    </row>
    <row r="14" spans="1:11" x14ac:dyDescent="0.2">
      <c r="A14" s="988" t="s">
        <v>501</v>
      </c>
      <c r="B14" s="990">
        <v>53965830</v>
      </c>
      <c r="C14" s="990">
        <v>-6370761</v>
      </c>
      <c r="D14" s="990">
        <v>-9364000</v>
      </c>
      <c r="E14" s="990">
        <f t="shared" si="0"/>
        <v>38231069</v>
      </c>
      <c r="F14" s="989">
        <v>67727217</v>
      </c>
      <c r="G14" s="989">
        <f t="shared" si="1"/>
        <v>13761387</v>
      </c>
      <c r="H14" s="991">
        <f t="shared" si="2"/>
        <v>0.25500185950998994</v>
      </c>
      <c r="I14" s="989">
        <f t="shared" si="3"/>
        <v>29496148</v>
      </c>
      <c r="J14" s="991">
        <f t="shared" si="4"/>
        <v>0.77152297258546443</v>
      </c>
      <c r="K14" s="994">
        <f t="shared" si="5"/>
        <v>0.25173035678518552</v>
      </c>
    </row>
    <row r="15" spans="1:11" x14ac:dyDescent="0.2">
      <c r="A15" s="988" t="s">
        <v>498</v>
      </c>
      <c r="B15" s="990">
        <v>1800000</v>
      </c>
      <c r="C15" s="990">
        <v>-420000</v>
      </c>
      <c r="D15" s="990">
        <v>-64000</v>
      </c>
      <c r="E15" s="990">
        <f t="shared" si="0"/>
        <v>1316000</v>
      </c>
      <c r="F15" s="989">
        <v>2400000</v>
      </c>
      <c r="G15" s="989">
        <f t="shared" si="1"/>
        <v>600000</v>
      </c>
      <c r="H15" s="991">
        <f t="shared" si="2"/>
        <v>0.33333333333333331</v>
      </c>
      <c r="I15" s="989">
        <f t="shared" si="3"/>
        <v>1084000</v>
      </c>
      <c r="J15" s="991">
        <f t="shared" si="4"/>
        <v>0.82370820668693012</v>
      </c>
      <c r="K15" s="994">
        <f t="shared" si="5"/>
        <v>8.9203850836576566E-3</v>
      </c>
    </row>
    <row r="16" spans="1:11" x14ac:dyDescent="0.2">
      <c r="A16" s="988" t="s">
        <v>499</v>
      </c>
      <c r="B16" s="990">
        <v>17081011</v>
      </c>
      <c r="C16" s="990">
        <v>8164002</v>
      </c>
      <c r="D16" s="990">
        <v>-4286884</v>
      </c>
      <c r="E16" s="990">
        <f t="shared" si="0"/>
        <v>20958129</v>
      </c>
      <c r="F16" s="989">
        <v>19104531</v>
      </c>
      <c r="G16" s="989">
        <f t="shared" si="1"/>
        <v>2023520</v>
      </c>
      <c r="H16" s="991">
        <f t="shared" si="2"/>
        <v>0.11846605566848473</v>
      </c>
      <c r="I16" s="989">
        <f t="shared" si="3"/>
        <v>-1853598</v>
      </c>
      <c r="J16" s="991">
        <f t="shared" si="4"/>
        <v>-8.8442913964314279E-2</v>
      </c>
      <c r="K16" s="994">
        <f t="shared" si="5"/>
        <v>7.1008238901114712E-2</v>
      </c>
    </row>
    <row r="17" spans="1:11" x14ac:dyDescent="0.2">
      <c r="A17" s="988" t="s">
        <v>500</v>
      </c>
      <c r="B17" s="990">
        <v>90000</v>
      </c>
      <c r="C17" s="990">
        <v>0</v>
      </c>
      <c r="D17" s="990">
        <v>-60000</v>
      </c>
      <c r="E17" s="990">
        <f t="shared" si="0"/>
        <v>30000</v>
      </c>
      <c r="F17" s="989">
        <v>120000</v>
      </c>
      <c r="G17" s="989">
        <f t="shared" si="1"/>
        <v>30000</v>
      </c>
      <c r="H17" s="991">
        <f t="shared" si="2"/>
        <v>0.33333333333333331</v>
      </c>
      <c r="I17" s="989">
        <f t="shared" si="3"/>
        <v>90000</v>
      </c>
      <c r="J17" s="991">
        <f t="shared" si="4"/>
        <v>3</v>
      </c>
      <c r="K17" s="995">
        <f t="shared" si="5"/>
        <v>4.4601925418288289E-4</v>
      </c>
    </row>
  </sheetData>
  <mergeCells count="3">
    <mergeCell ref="B2:E2"/>
    <mergeCell ref="I2:J2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5">
    <tabColor theme="9" tint="0.79998168889431442"/>
  </sheetPr>
  <dimension ref="A1:J29"/>
  <sheetViews>
    <sheetView showZero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61" bestFit="1" customWidth="1"/>
    <col min="2" max="2" width="12.42578125" style="43" customWidth="1"/>
    <col min="3" max="3" width="10.42578125" hidden="1" customWidth="1"/>
    <col min="4" max="4" width="10.42578125" style="486" hidden="1" customWidth="1"/>
    <col min="5" max="5" width="11.28515625" customWidth="1"/>
    <col min="6" max="6" width="10.42578125" style="486" bestFit="1" customWidth="1"/>
    <col min="7" max="7" width="10.140625" bestFit="1" customWidth="1"/>
    <col min="9" max="9" width="10.140625" bestFit="1" customWidth="1"/>
  </cols>
  <sheetData>
    <row r="1" spans="1:10" ht="15" x14ac:dyDescent="0.25">
      <c r="A1" s="19" t="s">
        <v>45</v>
      </c>
    </row>
    <row r="2" spans="1:10" s="56" customFormat="1" ht="12.75" customHeight="1" x14ac:dyDescent="0.25">
      <c r="A2" s="19"/>
      <c r="B2" s="1000">
        <v>2021</v>
      </c>
      <c r="C2" s="1001"/>
      <c r="D2" s="1001"/>
      <c r="E2" s="1002"/>
      <c r="F2" s="807">
        <v>2022</v>
      </c>
      <c r="G2" s="998" t="s">
        <v>1075</v>
      </c>
      <c r="H2" s="999"/>
      <c r="I2" s="996" t="s">
        <v>1076</v>
      </c>
      <c r="J2" s="997"/>
    </row>
    <row r="3" spans="1:10" ht="25.5" x14ac:dyDescent="0.2">
      <c r="B3" s="813" t="s">
        <v>859</v>
      </c>
      <c r="C3" s="813" t="s">
        <v>984</v>
      </c>
      <c r="D3" s="813" t="s">
        <v>1066</v>
      </c>
      <c r="E3" s="813" t="s">
        <v>860</v>
      </c>
      <c r="F3" s="808" t="s">
        <v>1074</v>
      </c>
      <c r="G3" s="809" t="s">
        <v>53</v>
      </c>
      <c r="H3" s="810" t="s">
        <v>981</v>
      </c>
      <c r="I3" s="811" t="s">
        <v>53</v>
      </c>
      <c r="J3" s="812" t="s">
        <v>981</v>
      </c>
    </row>
    <row r="4" spans="1:10" x14ac:dyDescent="0.2">
      <c r="A4" s="17"/>
      <c r="B4" s="17"/>
      <c r="C4" s="54"/>
      <c r="D4" s="54"/>
    </row>
    <row r="5" spans="1:10" x14ac:dyDescent="0.2">
      <c r="A5" s="44" t="s">
        <v>46</v>
      </c>
      <c r="B5" s="96">
        <f t="shared" ref="B5" si="0">B6</f>
        <v>70000000</v>
      </c>
      <c r="C5" s="96"/>
      <c r="D5" s="96"/>
      <c r="E5" s="96">
        <f>B5+C5+D5</f>
        <v>70000000</v>
      </c>
      <c r="F5" s="96">
        <f>F6</f>
        <v>90000000</v>
      </c>
      <c r="G5" s="96">
        <f t="shared" ref="G5" si="1">F5-B5</f>
        <v>20000000</v>
      </c>
      <c r="H5" s="638">
        <f>G5/B5</f>
        <v>0.2857142857142857</v>
      </c>
      <c r="I5" s="96">
        <f t="shared" ref="I5" si="2">IF(F5=0,0,F5-E5)</f>
        <v>20000000</v>
      </c>
      <c r="J5" s="638">
        <f t="shared" ref="J5" si="3">IF(F5=0,"",I5/E5)</f>
        <v>0.2857142857142857</v>
      </c>
    </row>
    <row r="6" spans="1:10" x14ac:dyDescent="0.2">
      <c r="A6" s="45" t="s">
        <v>91</v>
      </c>
      <c r="B6" s="97">
        <v>70000000</v>
      </c>
      <c r="C6" s="97"/>
      <c r="D6" s="97"/>
      <c r="E6" s="97">
        <f t="shared" ref="E6:E20" si="4">B6+C6+D6</f>
        <v>70000000</v>
      </c>
      <c r="F6" s="97">
        <f>60000000+30000000</f>
        <v>90000000</v>
      </c>
      <c r="G6" s="97">
        <f t="shared" ref="G6:G20" si="5">F6-B6</f>
        <v>20000000</v>
      </c>
      <c r="H6" s="636">
        <f t="shared" ref="H6:H20" si="6">G6/B6</f>
        <v>0.2857142857142857</v>
      </c>
      <c r="I6" s="97">
        <f t="shared" ref="I6:I20" si="7">IF(F6=0,0,F6-E6)</f>
        <v>20000000</v>
      </c>
      <c r="J6" s="636">
        <f t="shared" ref="J6:J20" si="8">IF(F6=0,"",I6/E6)</f>
        <v>0.2857142857142857</v>
      </c>
    </row>
    <row r="7" spans="1:10" x14ac:dyDescent="0.2">
      <c r="A7" s="17"/>
      <c r="B7" s="97"/>
      <c r="C7" s="97"/>
      <c r="D7" s="97"/>
      <c r="E7" s="97">
        <f t="shared" si="4"/>
        <v>0</v>
      </c>
      <c r="F7" s="97">
        <f>C7+E7</f>
        <v>0</v>
      </c>
      <c r="G7" s="97">
        <f t="shared" si="5"/>
        <v>0</v>
      </c>
      <c r="H7" s="636"/>
      <c r="I7" s="97">
        <f t="shared" si="7"/>
        <v>0</v>
      </c>
      <c r="J7" s="636" t="str">
        <f t="shared" si="8"/>
        <v/>
      </c>
    </row>
    <row r="8" spans="1:10" x14ac:dyDescent="0.2">
      <c r="A8" s="44" t="s">
        <v>47</v>
      </c>
      <c r="B8" s="96">
        <f>B9</f>
        <v>19583179</v>
      </c>
      <c r="C8" s="96"/>
      <c r="D8" s="96"/>
      <c r="E8" s="96">
        <f t="shared" si="4"/>
        <v>19583179</v>
      </c>
      <c r="F8" s="96">
        <f>F9</f>
        <v>16209156</v>
      </c>
      <c r="G8" s="96">
        <f t="shared" si="5"/>
        <v>-3374023</v>
      </c>
      <c r="H8" s="638">
        <f t="shared" si="6"/>
        <v>-0.1722918939769687</v>
      </c>
      <c r="I8" s="96">
        <f t="shared" si="7"/>
        <v>-3374023</v>
      </c>
      <c r="J8" s="638">
        <f t="shared" si="8"/>
        <v>-0.1722918939769687</v>
      </c>
    </row>
    <row r="9" spans="1:10" x14ac:dyDescent="0.2">
      <c r="A9" s="45" t="s">
        <v>91</v>
      </c>
      <c r="B9" s="97">
        <v>19583179</v>
      </c>
      <c r="C9" s="97"/>
      <c r="D9" s="97"/>
      <c r="E9" s="97">
        <f t="shared" si="4"/>
        <v>19583179</v>
      </c>
      <c r="F9" s="97">
        <v>16209156</v>
      </c>
      <c r="G9" s="97">
        <f t="shared" si="5"/>
        <v>-3374023</v>
      </c>
      <c r="H9" s="636">
        <f t="shared" si="6"/>
        <v>-0.1722918939769687</v>
      </c>
      <c r="I9" s="97">
        <f t="shared" si="7"/>
        <v>-3374023</v>
      </c>
      <c r="J9" s="636">
        <f t="shared" si="8"/>
        <v>-0.1722918939769687</v>
      </c>
    </row>
    <row r="10" spans="1:10" s="56" customFormat="1" x14ac:dyDescent="0.2">
      <c r="A10" s="45"/>
      <c r="B10" s="97"/>
      <c r="C10" s="97"/>
      <c r="D10" s="97"/>
      <c r="E10" s="97">
        <f t="shared" si="4"/>
        <v>0</v>
      </c>
      <c r="F10" s="97">
        <f>C10+E10</f>
        <v>0</v>
      </c>
      <c r="G10" s="97">
        <f t="shared" si="5"/>
        <v>0</v>
      </c>
      <c r="H10" s="636"/>
      <c r="I10" s="97">
        <f t="shared" si="7"/>
        <v>0</v>
      </c>
      <c r="J10" s="636" t="str">
        <f t="shared" si="8"/>
        <v/>
      </c>
    </row>
    <row r="11" spans="1:10" s="486" customFormat="1" x14ac:dyDescent="0.2">
      <c r="A11" s="162" t="s">
        <v>980</v>
      </c>
      <c r="B11" s="96">
        <f t="shared" ref="B11" si="9">B12</f>
        <v>0</v>
      </c>
      <c r="C11" s="96">
        <f>C12</f>
        <v>33574000</v>
      </c>
      <c r="D11" s="96"/>
      <c r="E11" s="96">
        <f t="shared" si="4"/>
        <v>33574000</v>
      </c>
      <c r="F11" s="96"/>
      <c r="G11" s="96">
        <f t="shared" si="5"/>
        <v>0</v>
      </c>
      <c r="H11" s="638"/>
      <c r="I11" s="96">
        <f t="shared" si="7"/>
        <v>0</v>
      </c>
      <c r="J11" s="638" t="str">
        <f t="shared" si="8"/>
        <v/>
      </c>
    </row>
    <row r="12" spans="1:10" s="486" customFormat="1" x14ac:dyDescent="0.2">
      <c r="A12" s="163" t="s">
        <v>91</v>
      </c>
      <c r="B12" s="97"/>
      <c r="C12" s="97">
        <v>33574000</v>
      </c>
      <c r="D12" s="97"/>
      <c r="E12" s="97">
        <f t="shared" si="4"/>
        <v>33574000</v>
      </c>
      <c r="F12" s="97"/>
      <c r="G12" s="97">
        <f t="shared" si="5"/>
        <v>0</v>
      </c>
      <c r="H12" s="636"/>
      <c r="I12" s="97">
        <f t="shared" si="7"/>
        <v>0</v>
      </c>
      <c r="J12" s="636" t="str">
        <f t="shared" si="8"/>
        <v/>
      </c>
    </row>
    <row r="13" spans="1:10" s="486" customFormat="1" x14ac:dyDescent="0.2">
      <c r="A13" s="163"/>
      <c r="B13" s="97"/>
      <c r="C13" s="97"/>
      <c r="D13" s="97"/>
      <c r="E13" s="97">
        <f t="shared" si="4"/>
        <v>0</v>
      </c>
      <c r="F13" s="97"/>
      <c r="G13" s="97">
        <f t="shared" si="5"/>
        <v>0</v>
      </c>
      <c r="H13" s="636"/>
      <c r="I13" s="97">
        <f t="shared" si="7"/>
        <v>0</v>
      </c>
      <c r="J13" s="636" t="str">
        <f t="shared" si="8"/>
        <v/>
      </c>
    </row>
    <row r="14" spans="1:10" s="56" customFormat="1" x14ac:dyDescent="0.2">
      <c r="A14" s="162" t="s">
        <v>547</v>
      </c>
      <c r="B14" s="96">
        <f t="shared" ref="B14" si="10">B15</f>
        <v>4325529</v>
      </c>
      <c r="C14" s="96"/>
      <c r="D14" s="96">
        <f>D15</f>
        <v>1016949</v>
      </c>
      <c r="E14" s="96">
        <f t="shared" si="4"/>
        <v>5342478</v>
      </c>
      <c r="F14" s="96">
        <f>F15</f>
        <v>7345608</v>
      </c>
      <c r="G14" s="96">
        <f t="shared" si="5"/>
        <v>3020079</v>
      </c>
      <c r="H14" s="638">
        <f t="shared" si="6"/>
        <v>0.69819876366566958</v>
      </c>
      <c r="I14" s="96">
        <f t="shared" si="7"/>
        <v>2003130</v>
      </c>
      <c r="J14" s="638">
        <f t="shared" si="8"/>
        <v>0.37494398666686135</v>
      </c>
    </row>
    <row r="15" spans="1:10" x14ac:dyDescent="0.2">
      <c r="A15" s="163" t="s">
        <v>91</v>
      </c>
      <c r="B15" s="97">
        <v>4325529</v>
      </c>
      <c r="C15" s="97"/>
      <c r="D15" s="97">
        <v>1016949</v>
      </c>
      <c r="E15" s="97">
        <f t="shared" si="4"/>
        <v>5342478</v>
      </c>
      <c r="F15" s="97">
        <v>7345608</v>
      </c>
      <c r="G15" s="97">
        <f t="shared" si="5"/>
        <v>3020079</v>
      </c>
      <c r="H15" s="636">
        <f t="shared" si="6"/>
        <v>0.69819876366566958</v>
      </c>
      <c r="I15" s="97">
        <f t="shared" si="7"/>
        <v>2003130</v>
      </c>
      <c r="J15" s="636">
        <f t="shared" si="8"/>
        <v>0.37494398666686135</v>
      </c>
    </row>
    <row r="16" spans="1:10" s="56" customFormat="1" x14ac:dyDescent="0.2">
      <c r="A16" s="163"/>
      <c r="B16" s="97"/>
      <c r="C16" s="97"/>
      <c r="D16" s="97"/>
      <c r="E16" s="97">
        <f t="shared" si="4"/>
        <v>0</v>
      </c>
      <c r="F16" s="97"/>
      <c r="G16" s="97">
        <f t="shared" si="5"/>
        <v>0</v>
      </c>
      <c r="H16" s="636"/>
      <c r="I16" s="97">
        <f t="shared" si="7"/>
        <v>0</v>
      </c>
      <c r="J16" s="636" t="str">
        <f t="shared" si="8"/>
        <v/>
      </c>
    </row>
    <row r="17" spans="1:10" x14ac:dyDescent="0.2">
      <c r="A17" s="44" t="s">
        <v>85</v>
      </c>
      <c r="B17" s="96">
        <f t="shared" ref="B17" si="11">B19</f>
        <v>830936</v>
      </c>
      <c r="C17" s="96"/>
      <c r="D17" s="96"/>
      <c r="E17" s="96">
        <f t="shared" si="4"/>
        <v>830936</v>
      </c>
      <c r="F17" s="96">
        <f>F19</f>
        <v>905270</v>
      </c>
      <c r="G17" s="96">
        <f t="shared" si="5"/>
        <v>74334</v>
      </c>
      <c r="H17" s="638">
        <f t="shared" si="6"/>
        <v>8.9458153215169395E-2</v>
      </c>
      <c r="I17" s="96">
        <f t="shared" si="7"/>
        <v>74334</v>
      </c>
      <c r="J17" s="638">
        <f t="shared" si="8"/>
        <v>8.9458153215169395E-2</v>
      </c>
    </row>
    <row r="18" spans="1:10" x14ac:dyDescent="0.2">
      <c r="A18" s="47"/>
      <c r="B18" s="97"/>
      <c r="C18" s="97"/>
      <c r="D18" s="97"/>
      <c r="E18" s="97">
        <f t="shared" si="4"/>
        <v>0</v>
      </c>
      <c r="F18" s="97"/>
      <c r="G18" s="97">
        <f t="shared" si="5"/>
        <v>0</v>
      </c>
      <c r="H18" s="636"/>
      <c r="I18" s="97">
        <f t="shared" si="7"/>
        <v>0</v>
      </c>
      <c r="J18" s="636" t="str">
        <f t="shared" si="8"/>
        <v/>
      </c>
    </row>
    <row r="19" spans="1:10" x14ac:dyDescent="0.2">
      <c r="A19" s="48" t="s">
        <v>120</v>
      </c>
      <c r="B19" s="97">
        <f>B20</f>
        <v>830936</v>
      </c>
      <c r="C19" s="97"/>
      <c r="D19" s="97"/>
      <c r="E19" s="97">
        <f t="shared" si="4"/>
        <v>830936</v>
      </c>
      <c r="F19" s="97">
        <f>F20</f>
        <v>905270</v>
      </c>
      <c r="G19" s="97">
        <f t="shared" si="5"/>
        <v>74334</v>
      </c>
      <c r="H19" s="636">
        <f t="shared" si="6"/>
        <v>8.9458153215169395E-2</v>
      </c>
      <c r="I19" s="97">
        <f t="shared" si="7"/>
        <v>74334</v>
      </c>
      <c r="J19" s="636">
        <f t="shared" si="8"/>
        <v>8.9458153215169395E-2</v>
      </c>
    </row>
    <row r="20" spans="1:10" x14ac:dyDescent="0.2">
      <c r="A20" s="47" t="s">
        <v>143</v>
      </c>
      <c r="B20" s="97">
        <v>830936</v>
      </c>
      <c r="C20" s="97"/>
      <c r="D20" s="97"/>
      <c r="E20" s="97">
        <f t="shared" si="4"/>
        <v>830936</v>
      </c>
      <c r="F20" s="97">
        <v>905270</v>
      </c>
      <c r="G20" s="97">
        <f t="shared" si="5"/>
        <v>74334</v>
      </c>
      <c r="H20" s="636">
        <f t="shared" si="6"/>
        <v>8.9458153215169395E-2</v>
      </c>
      <c r="I20" s="97">
        <f t="shared" si="7"/>
        <v>74334</v>
      </c>
      <c r="J20" s="636">
        <f t="shared" si="8"/>
        <v>8.9458153215169395E-2</v>
      </c>
    </row>
    <row r="29" spans="1:10" ht="15" customHeight="1" x14ac:dyDescent="0.2"/>
  </sheetData>
  <mergeCells count="3">
    <mergeCell ref="B2:E2"/>
    <mergeCell ref="G2:H2"/>
    <mergeCell ref="I2:J2"/>
  </mergeCells>
  <phoneticPr fontId="37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1 KOONDEELARVE</vt:lpstr>
      <vt:lpstr>2 TULUDE KOOND</vt:lpstr>
      <vt:lpstr>2.1 LK TULUD</vt:lpstr>
      <vt:lpstr>Sheet2</vt:lpstr>
      <vt:lpstr>2.2 OMATULUD</vt:lpstr>
      <vt:lpstr>2.3 TOETUSED</vt:lpstr>
      <vt:lpstr>3 KULUD</vt:lpstr>
      <vt:lpstr>4 INVEST</vt:lpstr>
      <vt:lpstr>5 FIN.TEH</vt:lpstr>
      <vt:lpstr>6 RAHAKÄIVE</vt:lpstr>
      <vt:lpstr>7 LIIGENDUS</vt:lpstr>
      <vt:lpstr>'1 KOONDEELARVE'!Print_Titles</vt:lpstr>
      <vt:lpstr>'2 TULUDE KOOND'!Print_Titles</vt:lpstr>
    </vt:vector>
  </TitlesOfParts>
  <Company>Tallinna Linnakantselei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</dc:creator>
  <cp:lastModifiedBy>Maarja Valler</cp:lastModifiedBy>
  <cp:lastPrinted>2021-11-19T10:26:34Z</cp:lastPrinted>
  <dcterms:created xsi:type="dcterms:W3CDTF">2011-11-17T06:19:29Z</dcterms:created>
  <dcterms:modified xsi:type="dcterms:W3CDTF">2021-12-07T11:26:05Z</dcterms:modified>
</cp:coreProperties>
</file>