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360" yWindow="75" windowWidth="12315" windowHeight="10875"/>
  </bookViews>
  <sheets>
    <sheet name="ÕIGUSAKTID" sheetId="26" r:id="rId1"/>
    <sheet name="1 KOONDEELARVE" sheetId="19" r:id="rId2"/>
    <sheet name="2 TULUDE KOOND" sheetId="20" r:id="rId3"/>
    <sheet name="2.1 LK TULUD" sheetId="7" r:id="rId4"/>
    <sheet name="Sheet2" sheetId="15" state="hidden" r:id="rId5"/>
    <sheet name="2.2 OMATULUD" sheetId="4" r:id="rId6"/>
    <sheet name="2.3 TOETUSED" sheetId="12" r:id="rId7"/>
    <sheet name="3 KULUD" sheetId="23" r:id="rId8"/>
    <sheet name="4 INVEST" sheetId="27" r:id="rId9"/>
    <sheet name="5 FIN.TEH" sheetId="21" r:id="rId10"/>
    <sheet name="6 RAHAKÄIVE" sheetId="28" r:id="rId11"/>
    <sheet name="7 LIIGENDUS" sheetId="24" r:id="rId12"/>
  </sheets>
  <definedNames>
    <definedName name="_xlnm._FilterDatabase" localSheetId="2" hidden="1">'2 TULUDE KOOND'!$A$4:$E$51</definedName>
    <definedName name="_xlnm._FilterDatabase" localSheetId="5" hidden="1">'2.2 OMATULUD'!$A$4:$E$808</definedName>
    <definedName name="_xlnm._FilterDatabase" localSheetId="6" hidden="1">'2.3 TOETUSED'!$A$4:$E$64</definedName>
    <definedName name="_xlnm._FilterDatabase" localSheetId="7" hidden="1">'3 KULUD'!$C$4:$H$1603</definedName>
    <definedName name="_xlnm._FilterDatabase" localSheetId="8" hidden="1">'4 INVEST'!$A$4:$F$234</definedName>
    <definedName name="OLE_LINK1" localSheetId="7">'3 KULUD'!#REF!</definedName>
    <definedName name="_xlnm.Print_Titles" localSheetId="1">'1 KOONDEELARVE'!$5:$5</definedName>
    <definedName name="_xlnm.Print_Titles" localSheetId="2">'2 TULUDE KOOND'!$4:$4</definedName>
    <definedName name="_xlnm.Print_Titles" localSheetId="3">'2.1 LK TULUD'!$3:$4</definedName>
    <definedName name="_xlnm.Print_Titles" localSheetId="5">'2.2 OMATULUD'!$3:$4</definedName>
    <definedName name="_xlnm.Print_Titles" localSheetId="6">'2.3 TOETUSED'!$3:$4</definedName>
    <definedName name="_xlnm.Print_Titles" localSheetId="7">'3 KULUD'!$3:$5</definedName>
    <definedName name="_xlnm.Print_Titles" localSheetId="8">'4 INVEST'!#REF!</definedName>
  </definedNames>
  <calcPr calcId="145621"/>
</workbook>
</file>

<file path=xl/calcChain.xml><?xml version="1.0" encoding="utf-8"?>
<calcChain xmlns="http://schemas.openxmlformats.org/spreadsheetml/2006/main">
  <c r="F219" i="27" l="1"/>
  <c r="F218" i="27"/>
  <c r="F217" i="27"/>
  <c r="D247" i="27"/>
  <c r="C247" i="27"/>
  <c r="E7" i="27"/>
  <c r="D7" i="27"/>
  <c r="D9" i="27"/>
  <c r="D129" i="27"/>
  <c r="D242" i="27"/>
  <c r="E242" i="27"/>
  <c r="D246" i="27"/>
  <c r="E246" i="27"/>
  <c r="F232" i="27"/>
  <c r="F231" i="27"/>
  <c r="F227" i="27"/>
  <c r="F226" i="27"/>
  <c r="F224" i="27"/>
  <c r="F223" i="27"/>
  <c r="C225" i="27"/>
  <c r="C222" i="27"/>
  <c r="F222" i="27" s="1"/>
  <c r="E218" i="27"/>
  <c r="D212" i="27"/>
  <c r="F206" i="27"/>
  <c r="F205" i="27"/>
  <c r="F204" i="27"/>
  <c r="E203" i="27"/>
  <c r="D203" i="27"/>
  <c r="C203" i="27"/>
  <c r="F202" i="27"/>
  <c r="C201" i="27"/>
  <c r="F200" i="27"/>
  <c r="D199" i="27"/>
  <c r="F199" i="27" s="1"/>
  <c r="F198" i="27"/>
  <c r="F197" i="27"/>
  <c r="F196" i="27"/>
  <c r="F195" i="27"/>
  <c r="E194" i="27"/>
  <c r="E193" i="27" s="1"/>
  <c r="D194" i="27"/>
  <c r="D193" i="27" s="1"/>
  <c r="C193" i="27"/>
  <c r="F189" i="27"/>
  <c r="F187" i="27"/>
  <c r="F186" i="27"/>
  <c r="F185" i="27"/>
  <c r="F184" i="27"/>
  <c r="F183" i="27"/>
  <c r="E182" i="27"/>
  <c r="D182" i="27"/>
  <c r="D248" i="27" s="1"/>
  <c r="C182" i="27"/>
  <c r="F181" i="27"/>
  <c r="C180" i="27"/>
  <c r="C246" i="27" s="1"/>
  <c r="F179" i="27"/>
  <c r="F178" i="27"/>
  <c r="F177" i="27"/>
  <c r="F176" i="27"/>
  <c r="F158" i="27"/>
  <c r="F157" i="27"/>
  <c r="C156" i="27"/>
  <c r="F156" i="27" s="1"/>
  <c r="E155" i="27"/>
  <c r="D155" i="27"/>
  <c r="D154" i="27"/>
  <c r="C154" i="27"/>
  <c r="E153" i="27"/>
  <c r="E152" i="27"/>
  <c r="D152" i="27"/>
  <c r="F150" i="27"/>
  <c r="F149" i="27"/>
  <c r="E147" i="27"/>
  <c r="F145" i="27"/>
  <c r="F144" i="27"/>
  <c r="F143" i="27"/>
  <c r="F142" i="27"/>
  <c r="F141" i="27"/>
  <c r="F140" i="27"/>
  <c r="D139" i="27"/>
  <c r="F138" i="27"/>
  <c r="F137" i="27"/>
  <c r="D136" i="27"/>
  <c r="F136" i="27" s="1"/>
  <c r="F135" i="27"/>
  <c r="F134" i="27"/>
  <c r="F133" i="27"/>
  <c r="F132" i="27"/>
  <c r="F131" i="27"/>
  <c r="F130" i="27"/>
  <c r="E128" i="27"/>
  <c r="E127" i="27" s="1"/>
  <c r="E245" i="27" s="1"/>
  <c r="D128" i="27"/>
  <c r="C128" i="27"/>
  <c r="C127" i="27" s="1"/>
  <c r="C245" i="27" s="1"/>
  <c r="F126" i="27"/>
  <c r="F125" i="27"/>
  <c r="F124" i="27"/>
  <c r="F123" i="27"/>
  <c r="F122" i="27"/>
  <c r="F121" i="27"/>
  <c r="F120" i="27"/>
  <c r="E119" i="27"/>
  <c r="D119" i="27"/>
  <c r="D243" i="27" s="1"/>
  <c r="C119" i="27"/>
  <c r="C243" i="27" s="1"/>
  <c r="F118" i="27"/>
  <c r="F117" i="27"/>
  <c r="C116" i="27"/>
  <c r="F115" i="27"/>
  <c r="F114" i="27"/>
  <c r="F113" i="27"/>
  <c r="D112" i="27"/>
  <c r="C112" i="27"/>
  <c r="F111" i="27"/>
  <c r="F110" i="27"/>
  <c r="F109" i="27"/>
  <c r="F108" i="27"/>
  <c r="F107" i="27"/>
  <c r="F106" i="27"/>
  <c r="D105" i="27"/>
  <c r="C105" i="27"/>
  <c r="E104" i="27"/>
  <c r="E103" i="27" s="1"/>
  <c r="E241" i="27" s="1"/>
  <c r="D104" i="27"/>
  <c r="C104" i="27"/>
  <c r="F102" i="27"/>
  <c r="F101" i="27"/>
  <c r="F100" i="27"/>
  <c r="F99" i="27"/>
  <c r="F98" i="27"/>
  <c r="F97" i="27"/>
  <c r="F96" i="27"/>
  <c r="F95" i="27"/>
  <c r="F94" i="27"/>
  <c r="F93" i="27"/>
  <c r="F92" i="27"/>
  <c r="E91" i="27"/>
  <c r="E90" i="27" s="1"/>
  <c r="D91" i="27"/>
  <c r="D90" i="27" s="1"/>
  <c r="C91" i="27"/>
  <c r="C90" i="27" s="1"/>
  <c r="F89" i="27"/>
  <c r="F88" i="27"/>
  <c r="F87" i="27"/>
  <c r="F86" i="27"/>
  <c r="F85" i="27"/>
  <c r="F84" i="27"/>
  <c r="F83" i="27"/>
  <c r="F82" i="27"/>
  <c r="E81" i="27"/>
  <c r="F80" i="27"/>
  <c r="F79" i="27"/>
  <c r="D78" i="27"/>
  <c r="F77" i="27"/>
  <c r="F76" i="27"/>
  <c r="E75" i="27"/>
  <c r="D75" i="27"/>
  <c r="F74" i="27"/>
  <c r="F73" i="27"/>
  <c r="F72" i="27"/>
  <c r="F71" i="27"/>
  <c r="F70" i="27"/>
  <c r="F69" i="27"/>
  <c r="F68" i="27"/>
  <c r="F67" i="27"/>
  <c r="F66" i="27"/>
  <c r="F65" i="27"/>
  <c r="F64" i="27"/>
  <c r="F63" i="27"/>
  <c r="F62" i="27"/>
  <c r="E61" i="27"/>
  <c r="D61" i="27"/>
  <c r="C61" i="27"/>
  <c r="E60" i="27"/>
  <c r="E44" i="27" s="1"/>
  <c r="E211" i="27" s="1"/>
  <c r="D60" i="27"/>
  <c r="C60" i="27"/>
  <c r="E59" i="27"/>
  <c r="D59" i="27"/>
  <c r="E58" i="27"/>
  <c r="D58" i="27"/>
  <c r="C58" i="27"/>
  <c r="F56" i="27"/>
  <c r="F55" i="27"/>
  <c r="E54" i="27"/>
  <c r="C53" i="27"/>
  <c r="F52" i="27"/>
  <c r="D50" i="27"/>
  <c r="C50" i="27"/>
  <c r="D49" i="27"/>
  <c r="C49" i="27"/>
  <c r="D48" i="27"/>
  <c r="F45" i="27"/>
  <c r="F212" i="27" s="1"/>
  <c r="F39" i="27"/>
  <c r="F38" i="27"/>
  <c r="D37" i="27"/>
  <c r="F36" i="27"/>
  <c r="F35" i="27"/>
  <c r="E34" i="27"/>
  <c r="D34" i="27"/>
  <c r="F33" i="27"/>
  <c r="F32" i="27"/>
  <c r="E31" i="27"/>
  <c r="D31" i="27"/>
  <c r="F30" i="27"/>
  <c r="F29" i="27"/>
  <c r="F28" i="27"/>
  <c r="F27" i="27"/>
  <c r="C26" i="27"/>
  <c r="D25" i="27"/>
  <c r="C25" i="27"/>
  <c r="D24" i="27"/>
  <c r="C24" i="27"/>
  <c r="E23" i="27"/>
  <c r="E22" i="27" s="1"/>
  <c r="D23" i="27"/>
  <c r="C23" i="27"/>
  <c r="F20" i="27"/>
  <c r="C19" i="27"/>
  <c r="C18" i="27"/>
  <c r="C17" i="27"/>
  <c r="F17" i="27" s="1"/>
  <c r="F15" i="27"/>
  <c r="F14" i="27"/>
  <c r="D13" i="27"/>
  <c r="C13" i="27"/>
  <c r="F12" i="27"/>
  <c r="E11" i="27"/>
  <c r="E10" i="27" s="1"/>
  <c r="D11" i="27"/>
  <c r="D10" i="27" s="1"/>
  <c r="C11" i="27"/>
  <c r="C10" i="27" s="1"/>
  <c r="D214" i="27" l="1"/>
  <c r="D103" i="27"/>
  <c r="D241" i="27" s="1"/>
  <c r="E240" i="27"/>
  <c r="D127" i="27"/>
  <c r="D245" i="27" s="1"/>
  <c r="F225" i="27"/>
  <c r="C240" i="27"/>
  <c r="E48" i="27"/>
  <c r="E47" i="27" s="1"/>
  <c r="D240" i="27"/>
  <c r="C242" i="27"/>
  <c r="D43" i="27"/>
  <c r="E50" i="27"/>
  <c r="C192" i="27"/>
  <c r="C248" i="27"/>
  <c r="E248" i="27"/>
  <c r="E243" i="27"/>
  <c r="F78" i="27"/>
  <c r="F13" i="27"/>
  <c r="E57" i="27"/>
  <c r="E239" i="27" s="1"/>
  <c r="F180" i="27"/>
  <c r="F246" i="27" s="1"/>
  <c r="F58" i="27"/>
  <c r="C9" i="27"/>
  <c r="C214" i="27" s="1"/>
  <c r="F31" i="27"/>
  <c r="E46" i="27"/>
  <c r="E213" i="27" s="1"/>
  <c r="C57" i="27"/>
  <c r="D57" i="27"/>
  <c r="D239" i="27" s="1"/>
  <c r="F105" i="27"/>
  <c r="E192" i="27"/>
  <c r="C7" i="27"/>
  <c r="F11" i="27"/>
  <c r="F112" i="27"/>
  <c r="D151" i="27"/>
  <c r="C155" i="27"/>
  <c r="F201" i="27"/>
  <c r="E151" i="27"/>
  <c r="E244" i="27" s="1"/>
  <c r="D192" i="27"/>
  <c r="C22" i="27"/>
  <c r="F25" i="27"/>
  <c r="F34" i="27"/>
  <c r="F18" i="27"/>
  <c r="D22" i="27"/>
  <c r="C8" i="27"/>
  <c r="C213" i="27" s="1"/>
  <c r="F26" i="27"/>
  <c r="F37" i="27"/>
  <c r="D47" i="27"/>
  <c r="D44" i="27"/>
  <c r="D211" i="27" s="1"/>
  <c r="F24" i="27"/>
  <c r="C44" i="27"/>
  <c r="C211" i="27" s="1"/>
  <c r="F81" i="27"/>
  <c r="E146" i="27"/>
  <c r="E247" i="27" s="1"/>
  <c r="F153" i="27"/>
  <c r="E6" i="27"/>
  <c r="D46" i="27"/>
  <c r="F49" i="27"/>
  <c r="F51" i="27"/>
  <c r="F75" i="27"/>
  <c r="F104" i="27"/>
  <c r="F139" i="27"/>
  <c r="C152" i="27"/>
  <c r="F182" i="27"/>
  <c r="F248" i="27" s="1"/>
  <c r="C228" i="27"/>
  <c r="F228" i="27" s="1"/>
  <c r="F60" i="27"/>
  <c r="F61" i="27"/>
  <c r="C16" i="27"/>
  <c r="D8" i="27"/>
  <c r="F23" i="27"/>
  <c r="F10" i="27"/>
  <c r="F19" i="27"/>
  <c r="F53" i="27"/>
  <c r="F54" i="27"/>
  <c r="F128" i="27"/>
  <c r="F129" i="27"/>
  <c r="F147" i="27"/>
  <c r="F154" i="27"/>
  <c r="C48" i="27"/>
  <c r="F59" i="27"/>
  <c r="F90" i="27"/>
  <c r="F91" i="27"/>
  <c r="C103" i="27"/>
  <c r="F116" i="27"/>
  <c r="F242" i="27" s="1"/>
  <c r="F119" i="27"/>
  <c r="F243" i="27" s="1"/>
  <c r="F193" i="27"/>
  <c r="F194" i="27"/>
  <c r="E217" i="27"/>
  <c r="F203" i="27"/>
  <c r="C241" i="27" l="1"/>
  <c r="F127" i="27"/>
  <c r="F245" i="27" s="1"/>
  <c r="F50" i="27"/>
  <c r="C6" i="27"/>
  <c r="F8" i="27"/>
  <c r="F155" i="27"/>
  <c r="E43" i="27"/>
  <c r="E210" i="27" s="1"/>
  <c r="E209" i="27" s="1"/>
  <c r="F240" i="27"/>
  <c r="D238" i="27"/>
  <c r="E238" i="27"/>
  <c r="C239" i="27"/>
  <c r="F9" i="27"/>
  <c r="F214" i="27" s="1"/>
  <c r="D244" i="27"/>
  <c r="F192" i="27"/>
  <c r="D210" i="27"/>
  <c r="F22" i="27"/>
  <c r="F46" i="27"/>
  <c r="F57" i="27"/>
  <c r="F239" i="27" s="1"/>
  <c r="F146" i="27"/>
  <c r="F247" i="27" s="1"/>
  <c r="F44" i="27"/>
  <c r="F211" i="27" s="1"/>
  <c r="F7" i="27"/>
  <c r="D42" i="27"/>
  <c r="C151" i="27"/>
  <c r="C244" i="27" s="1"/>
  <c r="F152" i="27"/>
  <c r="C47" i="27"/>
  <c r="C238" i="27" s="1"/>
  <c r="F48" i="27"/>
  <c r="C43" i="27"/>
  <c r="D213" i="27"/>
  <c r="D6" i="27"/>
  <c r="F16" i="27"/>
  <c r="F103" i="27"/>
  <c r="F241" i="27" l="1"/>
  <c r="F213" i="27"/>
  <c r="E42" i="27"/>
  <c r="F6" i="27"/>
  <c r="D236" i="27"/>
  <c r="E250" i="27"/>
  <c r="D250" i="27"/>
  <c r="C250" i="27"/>
  <c r="F151" i="27"/>
  <c r="F244" i="27" s="1"/>
  <c r="F43" i="27"/>
  <c r="C42" i="27"/>
  <c r="C236" i="27" s="1"/>
  <c r="C210" i="27"/>
  <c r="F47" i="27"/>
  <c r="F238" i="27" s="1"/>
  <c r="D234" i="27"/>
  <c r="D209" i="27"/>
  <c r="E236" i="27" l="1"/>
  <c r="E234" i="27"/>
  <c r="F250" i="27"/>
  <c r="F210" i="27"/>
  <c r="C209" i="27"/>
  <c r="F42" i="27"/>
  <c r="F236" i="27" s="1"/>
  <c r="C234" i="27"/>
  <c r="F234" i="27" l="1"/>
  <c r="F209" i="27"/>
  <c r="H1450" i="23" l="1"/>
  <c r="H1449" i="23"/>
  <c r="H1448" i="23"/>
  <c r="H1447" i="23"/>
  <c r="H1446" i="23"/>
  <c r="H1445" i="23"/>
  <c r="H1444" i="23"/>
  <c r="H1443" i="23"/>
  <c r="H1442" i="23"/>
  <c r="H1440" i="23"/>
  <c r="H1439" i="23"/>
  <c r="H1434" i="23"/>
  <c r="H1433" i="23"/>
  <c r="H1432" i="23"/>
  <c r="H1431" i="23"/>
  <c r="H1430" i="23"/>
  <c r="H1429" i="23"/>
  <c r="H1428" i="23"/>
  <c r="H1427" i="23"/>
  <c r="H1425" i="23"/>
  <c r="H1424" i="23"/>
  <c r="H1423" i="23"/>
  <c r="H1422" i="23"/>
  <c r="H1421" i="23"/>
  <c r="H1420" i="23"/>
  <c r="H1419" i="23"/>
  <c r="H1418" i="23"/>
  <c r="H1417" i="23"/>
  <c r="H1416" i="23"/>
  <c r="H1415" i="23"/>
  <c r="H1414" i="23"/>
  <c r="H1413" i="23"/>
  <c r="H1412" i="23"/>
  <c r="H1411" i="23"/>
  <c r="H1410" i="23"/>
  <c r="H1408" i="23"/>
  <c r="H1407" i="23"/>
  <c r="H1406" i="23"/>
  <c r="H1405" i="23"/>
  <c r="H1404" i="23"/>
  <c r="H1401" i="23"/>
  <c r="H1399" i="23"/>
  <c r="H1396" i="23"/>
  <c r="H1395" i="23"/>
  <c r="H1394" i="23"/>
  <c r="H1393" i="23"/>
  <c r="H1392" i="23"/>
  <c r="H1391" i="23"/>
  <c r="H1390" i="23"/>
  <c r="H1389" i="23"/>
  <c r="H1386" i="23"/>
  <c r="H1385" i="23"/>
  <c r="H1383" i="23"/>
  <c r="H1382" i="23"/>
  <c r="H1379" i="23"/>
  <c r="H1378" i="23"/>
  <c r="H1377" i="23"/>
  <c r="H1375" i="23"/>
  <c r="H1371" i="23"/>
  <c r="H1369" i="23"/>
  <c r="H1368" i="23"/>
  <c r="H1367" i="23"/>
  <c r="H1366" i="23"/>
  <c r="H1365" i="23"/>
  <c r="H1364" i="23"/>
  <c r="H1363" i="23"/>
  <c r="H1362" i="23"/>
  <c r="H1361" i="23"/>
  <c r="H1360" i="23"/>
  <c r="H1359" i="23"/>
  <c r="H1358" i="23"/>
  <c r="H1357" i="23"/>
  <c r="H1356" i="23"/>
  <c r="H1354" i="23"/>
  <c r="H1351" i="23"/>
  <c r="H1349" i="23"/>
  <c r="H1348" i="23"/>
  <c r="H1346" i="23"/>
  <c r="H1345" i="23"/>
  <c r="H1344" i="23"/>
  <c r="H1343" i="23"/>
  <c r="H1342" i="23"/>
  <c r="H1341" i="23"/>
  <c r="H1339" i="23"/>
  <c r="H1336" i="23"/>
  <c r="H1335" i="23"/>
  <c r="H1333" i="23"/>
  <c r="H1330" i="23"/>
  <c r="H1329" i="23"/>
  <c r="H1326" i="23"/>
  <c r="H1322" i="23"/>
  <c r="H1320" i="23"/>
  <c r="H1319" i="23"/>
  <c r="H1318" i="23"/>
  <c r="H1317" i="23"/>
  <c r="H1316" i="23"/>
  <c r="H1315" i="23"/>
  <c r="H1314" i="23"/>
  <c r="H1313" i="23"/>
  <c r="H1312" i="23"/>
  <c r="H1311" i="23"/>
  <c r="H1310" i="23"/>
  <c r="H1309" i="23"/>
  <c r="H1308" i="23"/>
  <c r="H1307" i="23"/>
  <c r="H1306" i="23"/>
  <c r="H1305" i="23"/>
  <c r="H1304" i="23"/>
  <c r="H1303" i="23"/>
  <c r="H1302" i="23"/>
  <c r="H1299" i="23"/>
  <c r="H1297" i="23"/>
  <c r="H1294" i="23"/>
  <c r="H1293" i="23"/>
  <c r="H1291" i="23"/>
  <c r="H1290" i="23"/>
  <c r="H1289" i="23"/>
  <c r="H1288" i="23"/>
  <c r="H1287" i="23"/>
  <c r="H1286" i="23"/>
  <c r="H1283" i="23"/>
  <c r="H1281" i="23"/>
  <c r="H1278" i="23"/>
  <c r="H1276" i="23"/>
  <c r="H1275" i="23"/>
  <c r="H1274" i="23"/>
  <c r="H1273" i="23"/>
  <c r="H1271" i="23"/>
  <c r="H1269" i="23"/>
  <c r="H1268" i="23"/>
  <c r="H1267" i="23"/>
  <c r="H1266" i="23"/>
  <c r="H1263" i="23"/>
  <c r="H1262" i="23"/>
  <c r="H1261" i="23"/>
  <c r="H1259" i="23"/>
  <c r="H1255" i="23"/>
  <c r="H1253" i="23"/>
  <c r="H1252" i="23"/>
  <c r="H1251" i="23"/>
  <c r="H1250" i="23"/>
  <c r="H1249" i="23"/>
  <c r="H1248" i="23"/>
  <c r="H1247" i="23"/>
  <c r="H1246" i="23"/>
  <c r="H1245" i="23"/>
  <c r="H1244" i="23"/>
  <c r="H1243" i="23"/>
  <c r="H1242" i="23"/>
  <c r="H1241" i="23"/>
  <c r="H1240" i="23"/>
  <c r="H1239" i="23"/>
  <c r="H1238" i="23"/>
  <c r="H1237" i="23"/>
  <c r="H1236" i="23"/>
  <c r="H1233" i="23"/>
  <c r="H1231" i="23"/>
  <c r="H1230" i="23"/>
  <c r="H1228" i="23"/>
  <c r="H1227" i="23"/>
  <c r="H1226" i="23"/>
  <c r="H1225" i="23"/>
  <c r="H1224" i="23"/>
  <c r="H1221" i="23"/>
  <c r="H1219" i="23"/>
  <c r="H1217" i="23"/>
  <c r="H1214" i="23"/>
  <c r="H1211" i="23"/>
  <c r="H1210" i="23"/>
  <c r="H1207" i="23"/>
  <c r="H1203" i="23"/>
  <c r="H1201" i="23"/>
  <c r="H1200" i="23"/>
  <c r="H1199" i="23"/>
  <c r="H1198" i="23"/>
  <c r="H1197" i="23"/>
  <c r="H1196" i="23"/>
  <c r="H1195" i="23"/>
  <c r="H1194" i="23"/>
  <c r="H1193" i="23"/>
  <c r="H1192" i="23"/>
  <c r="H1191" i="23"/>
  <c r="H1190" i="23"/>
  <c r="H1189" i="23"/>
  <c r="H1188" i="23"/>
  <c r="H1187" i="23"/>
  <c r="H1186" i="23"/>
  <c r="H1185" i="23"/>
  <c r="H1184" i="23"/>
  <c r="H1182" i="23"/>
  <c r="H1180" i="23"/>
  <c r="H1179" i="23"/>
  <c r="H1178" i="23"/>
  <c r="H1177" i="23"/>
  <c r="H1176" i="23"/>
  <c r="H1175" i="23"/>
  <c r="H1172" i="23"/>
  <c r="H1171" i="23"/>
  <c r="H1169" i="23"/>
  <c r="H1168" i="23"/>
  <c r="H1167" i="23"/>
  <c r="H1166" i="23"/>
  <c r="H1165" i="23"/>
  <c r="H1164" i="23"/>
  <c r="H1163" i="23"/>
  <c r="H1162" i="23"/>
  <c r="H1159" i="23"/>
  <c r="H1158" i="23"/>
  <c r="H1157" i="23"/>
  <c r="H1156" i="23"/>
  <c r="H1153" i="23"/>
  <c r="H1150" i="23"/>
  <c r="H1147" i="23"/>
  <c r="H1146" i="23"/>
  <c r="H1145" i="23"/>
  <c r="H1143" i="23"/>
  <c r="H1139" i="23"/>
  <c r="H1137" i="23"/>
  <c r="H1136" i="23"/>
  <c r="H1135" i="23"/>
  <c r="H1134" i="23"/>
  <c r="H1133" i="23"/>
  <c r="H1132" i="23"/>
  <c r="H1130" i="23"/>
  <c r="H1129" i="23"/>
  <c r="H1128" i="23"/>
  <c r="H1127" i="23"/>
  <c r="H1126" i="23"/>
  <c r="H1125" i="23"/>
  <c r="H1124" i="23"/>
  <c r="H1123" i="23"/>
  <c r="H1122" i="23"/>
  <c r="H1120" i="23"/>
  <c r="H1117" i="23"/>
  <c r="H1115" i="23"/>
  <c r="H1114" i="23"/>
  <c r="H1112" i="23"/>
  <c r="H1111" i="23"/>
  <c r="H1110" i="23"/>
  <c r="H1109" i="23"/>
  <c r="H1108" i="23"/>
  <c r="H1107" i="23"/>
  <c r="H1106" i="23"/>
  <c r="H1105" i="23"/>
  <c r="H1102" i="23"/>
  <c r="H1098" i="23"/>
  <c r="H1096" i="23"/>
  <c r="H1095" i="23"/>
  <c r="H1094" i="23"/>
  <c r="H1093" i="23"/>
  <c r="H1092" i="23"/>
  <c r="H1091" i="23"/>
  <c r="H1090" i="23"/>
  <c r="H1089" i="23"/>
  <c r="H1088" i="23"/>
  <c r="H1087" i="23"/>
  <c r="H1085" i="23"/>
  <c r="H1084" i="23"/>
  <c r="H1083" i="23"/>
  <c r="H1082" i="23"/>
  <c r="H1081" i="23"/>
  <c r="H1080" i="23"/>
  <c r="H1079" i="23"/>
  <c r="H1078" i="23"/>
  <c r="H1077" i="23"/>
  <c r="H1076" i="23"/>
  <c r="H1075" i="23"/>
  <c r="H1074" i="23"/>
  <c r="H1073" i="23"/>
  <c r="H1072" i="23"/>
  <c r="H1071" i="23"/>
  <c r="H1070" i="23"/>
  <c r="H1069" i="23"/>
  <c r="H1068" i="23"/>
  <c r="H1067" i="23"/>
  <c r="H1064" i="23"/>
  <c r="H1062" i="23"/>
  <c r="H1061" i="23"/>
  <c r="H1060" i="23"/>
  <c r="H1058" i="23"/>
  <c r="H1057" i="23"/>
  <c r="H1056" i="23"/>
  <c r="H1055" i="23"/>
  <c r="H1054" i="23"/>
  <c r="H1053" i="23"/>
  <c r="H1052" i="23"/>
  <c r="H1051" i="23"/>
  <c r="H1048" i="23"/>
  <c r="H1047" i="23"/>
  <c r="H1045" i="23"/>
  <c r="H1042" i="23"/>
  <c r="H1041" i="23"/>
  <c r="H1040" i="23"/>
  <c r="H1038" i="23"/>
  <c r="H1034" i="23"/>
  <c r="H1032" i="23"/>
  <c r="H1031" i="23"/>
  <c r="H1030" i="23"/>
  <c r="H1029" i="23"/>
  <c r="H1028" i="23"/>
  <c r="H1027" i="23"/>
  <c r="H1026" i="23"/>
  <c r="H1025" i="23"/>
  <c r="H1024" i="23"/>
  <c r="H1023" i="23"/>
  <c r="H1022" i="23"/>
  <c r="H1021" i="23"/>
  <c r="H1020" i="23"/>
  <c r="H1019" i="23"/>
  <c r="H1018" i="23"/>
  <c r="H1017" i="23"/>
  <c r="H1016" i="23"/>
  <c r="H1015" i="23"/>
  <c r="H1014" i="23"/>
  <c r="H1013" i="23"/>
  <c r="H1012" i="23"/>
  <c r="H1010" i="23"/>
  <c r="H1009" i="23"/>
  <c r="H1007" i="23"/>
  <c r="H1006" i="23"/>
  <c r="H1005" i="23"/>
  <c r="H1004" i="23"/>
  <c r="H1003" i="23"/>
  <c r="H1002" i="23"/>
  <c r="H1001" i="23"/>
  <c r="H1000" i="23"/>
  <c r="H997" i="23"/>
  <c r="H996" i="23"/>
  <c r="H994" i="23"/>
  <c r="H991" i="23"/>
  <c r="H990" i="23"/>
  <c r="H989" i="23"/>
  <c r="H987" i="23"/>
  <c r="H983" i="23"/>
  <c r="H981" i="23"/>
  <c r="H980" i="23"/>
  <c r="H979" i="23"/>
  <c r="H978" i="23"/>
  <c r="H977" i="23"/>
  <c r="H976" i="23"/>
  <c r="H975" i="23"/>
  <c r="H972" i="23"/>
  <c r="H970" i="23"/>
  <c r="H969" i="23"/>
  <c r="H968" i="23"/>
  <c r="H967" i="23"/>
  <c r="H965" i="23"/>
  <c r="H964" i="23"/>
  <c r="H963" i="23"/>
  <c r="H962" i="23"/>
  <c r="H960" i="23"/>
  <c r="H959" i="23"/>
  <c r="H955" i="23"/>
  <c r="H953" i="23"/>
  <c r="H952" i="23"/>
  <c r="H951" i="23"/>
  <c r="H950" i="23"/>
  <c r="H949" i="23"/>
  <c r="H948" i="23"/>
  <c r="H947" i="23"/>
  <c r="H946" i="23"/>
  <c r="H945" i="23"/>
  <c r="H944" i="23"/>
  <c r="H943" i="23"/>
  <c r="H942" i="23"/>
  <c r="H941" i="23"/>
  <c r="H940" i="23"/>
  <c r="H939" i="23"/>
  <c r="H938" i="23"/>
  <c r="H937" i="23"/>
  <c r="H936" i="23"/>
  <c r="H935" i="23"/>
  <c r="H934" i="23"/>
  <c r="H933" i="23"/>
  <c r="H932" i="23"/>
  <c r="H931" i="23"/>
  <c r="H930" i="23"/>
  <c r="H929" i="23"/>
  <c r="H928" i="23"/>
  <c r="H927" i="23"/>
  <c r="H926" i="23"/>
  <c r="H925" i="23"/>
  <c r="H923" i="23"/>
  <c r="H922" i="23"/>
  <c r="H921" i="23"/>
  <c r="H920" i="23"/>
  <c r="H917" i="23"/>
  <c r="H915" i="23"/>
  <c r="H911" i="23"/>
  <c r="H910" i="23"/>
  <c r="H908" i="23"/>
  <c r="H906" i="23"/>
  <c r="H905" i="23"/>
  <c r="H904" i="23"/>
  <c r="H902" i="23"/>
  <c r="H899" i="23"/>
  <c r="H898" i="23"/>
  <c r="H897" i="23"/>
  <c r="H895" i="23"/>
  <c r="H894" i="23"/>
  <c r="H891" i="23"/>
  <c r="H890" i="23"/>
  <c r="H889" i="23"/>
  <c r="H888" i="23"/>
  <c r="H887" i="23"/>
  <c r="H886" i="23"/>
  <c r="H883" i="23"/>
  <c r="H878" i="23"/>
  <c r="H876" i="23"/>
  <c r="H875" i="23"/>
  <c r="H874" i="23"/>
  <c r="H873" i="23"/>
  <c r="H872" i="23"/>
  <c r="H871" i="23"/>
  <c r="H870" i="23"/>
  <c r="H869" i="23"/>
  <c r="H868" i="23"/>
  <c r="H867" i="23"/>
  <c r="H866" i="23"/>
  <c r="H865" i="23"/>
  <c r="H864" i="23"/>
  <c r="H863" i="23"/>
  <c r="H862" i="23"/>
  <c r="H860" i="23"/>
  <c r="H859" i="23"/>
  <c r="H858" i="23"/>
  <c r="H857" i="23"/>
  <c r="H856" i="23"/>
  <c r="H855" i="23"/>
  <c r="H854" i="23"/>
  <c r="H853" i="23"/>
  <c r="H852" i="23"/>
  <c r="H851" i="23"/>
  <c r="H850" i="23"/>
  <c r="H849" i="23"/>
  <c r="H848" i="23"/>
  <c r="H847" i="23"/>
  <c r="H846" i="23"/>
  <c r="H845" i="23"/>
  <c r="H844" i="23"/>
  <c r="H843" i="23"/>
  <c r="H842" i="23"/>
  <c r="H841" i="23"/>
  <c r="H840" i="23"/>
  <c r="H836" i="23"/>
  <c r="H833" i="23"/>
  <c r="H831" i="23"/>
  <c r="H830" i="23"/>
  <c r="H829" i="23"/>
  <c r="H828" i="23"/>
  <c r="H824" i="23"/>
  <c r="H823" i="23"/>
  <c r="H822" i="23"/>
  <c r="H820" i="23"/>
  <c r="H819" i="23"/>
  <c r="H818" i="23"/>
  <c r="H817" i="23"/>
  <c r="H816" i="23"/>
  <c r="H815" i="23"/>
  <c r="H814" i="23"/>
  <c r="H810" i="23"/>
  <c r="H805" i="23"/>
  <c r="H803" i="23"/>
  <c r="H802" i="23"/>
  <c r="H801" i="23"/>
  <c r="H800" i="23"/>
  <c r="H799" i="23"/>
  <c r="H798" i="23"/>
  <c r="H797" i="23"/>
  <c r="H796" i="23"/>
  <c r="H795" i="23"/>
  <c r="H794" i="23"/>
  <c r="H793" i="23"/>
  <c r="H791" i="23"/>
  <c r="H790" i="23"/>
  <c r="H789" i="23"/>
  <c r="H788" i="23"/>
  <c r="H787" i="23"/>
  <c r="H786" i="23"/>
  <c r="H785" i="23"/>
  <c r="H784" i="23"/>
  <c r="H782" i="23"/>
  <c r="H781" i="23"/>
  <c r="H779" i="23"/>
  <c r="H777" i="23"/>
  <c r="H774" i="23"/>
  <c r="H772" i="23"/>
  <c r="H771" i="23"/>
  <c r="H770" i="23"/>
  <c r="H769" i="23"/>
  <c r="H768" i="23"/>
  <c r="H767" i="23"/>
  <c r="H766" i="23"/>
  <c r="H765" i="23"/>
  <c r="H764" i="23"/>
  <c r="H763" i="23"/>
  <c r="H762" i="23"/>
  <c r="H761" i="23"/>
  <c r="H760" i="23"/>
  <c r="H759" i="23"/>
  <c r="H758" i="23"/>
  <c r="H757" i="23"/>
  <c r="H756" i="23"/>
  <c r="H753" i="23"/>
  <c r="H748" i="23"/>
  <c r="H746" i="23"/>
  <c r="H745" i="23"/>
  <c r="H744" i="23"/>
  <c r="H743" i="23"/>
  <c r="H742" i="23"/>
  <c r="H741" i="23"/>
  <c r="H740" i="23"/>
  <c r="H739" i="23"/>
  <c r="H737" i="23"/>
  <c r="H736" i="23"/>
  <c r="H735" i="23"/>
  <c r="H734" i="23"/>
  <c r="H733" i="23"/>
  <c r="H732" i="23"/>
  <c r="H731" i="23"/>
  <c r="H730" i="23"/>
  <c r="H729" i="23"/>
  <c r="H727" i="23"/>
  <c r="H726" i="23"/>
  <c r="H725" i="23"/>
  <c r="H724" i="23"/>
  <c r="H723" i="23"/>
  <c r="H722" i="23"/>
  <c r="H721" i="23"/>
  <c r="H720" i="23"/>
  <c r="H719" i="23"/>
  <c r="H718" i="23"/>
  <c r="H716" i="23"/>
  <c r="H715" i="23"/>
  <c r="H714" i="23"/>
  <c r="H713" i="23"/>
  <c r="H711" i="23"/>
  <c r="H710" i="23"/>
  <c r="H709" i="23"/>
  <c r="H708" i="23"/>
  <c r="H707" i="23"/>
  <c r="H703" i="23"/>
  <c r="H702" i="23"/>
  <c r="H701" i="23"/>
  <c r="H700" i="23"/>
  <c r="H697" i="23"/>
  <c r="H696" i="23"/>
  <c r="H695" i="23"/>
  <c r="H694" i="23"/>
  <c r="H693" i="23"/>
  <c r="H692" i="23"/>
  <c r="H691" i="23"/>
  <c r="H690" i="23"/>
  <c r="H689" i="23"/>
  <c r="H688" i="23"/>
  <c r="H687" i="23"/>
  <c r="H686" i="23"/>
  <c r="H684" i="23"/>
  <c r="H683" i="23"/>
  <c r="H682" i="23"/>
  <c r="H680" i="23"/>
  <c r="H679" i="23"/>
  <c r="H678" i="23"/>
  <c r="H677" i="23"/>
  <c r="H674" i="23"/>
  <c r="H673" i="23"/>
  <c r="H672" i="23"/>
  <c r="H671" i="23"/>
  <c r="H670" i="23"/>
  <c r="H669" i="23"/>
  <c r="H668" i="23"/>
  <c r="H667" i="23"/>
  <c r="H666" i="23"/>
  <c r="H665" i="23"/>
  <c r="H664" i="23"/>
  <c r="H663" i="23"/>
  <c r="H662" i="23"/>
  <c r="H661" i="23"/>
  <c r="H660" i="23"/>
  <c r="H656" i="23"/>
  <c r="H652" i="23"/>
  <c r="H650" i="23"/>
  <c r="H649" i="23"/>
  <c r="H648" i="23"/>
  <c r="H647" i="23"/>
  <c r="H645" i="23"/>
  <c r="H644" i="23"/>
  <c r="H643" i="23"/>
  <c r="H642" i="23"/>
  <c r="H641" i="23"/>
  <c r="H640" i="23"/>
  <c r="H639" i="23"/>
  <c r="H638" i="23"/>
  <c r="H637" i="23"/>
  <c r="H636" i="23"/>
  <c r="H633" i="23"/>
  <c r="H631" i="23"/>
  <c r="H630" i="23"/>
  <c r="H629" i="23"/>
  <c r="H627" i="23"/>
  <c r="H626" i="23"/>
  <c r="H624" i="23"/>
  <c r="H623" i="23"/>
  <c r="H622" i="23"/>
  <c r="H619" i="23"/>
  <c r="H618" i="23"/>
  <c r="H617" i="23"/>
  <c r="H614" i="23"/>
  <c r="H610" i="23"/>
  <c r="H608" i="23"/>
  <c r="H607" i="23"/>
  <c r="H606" i="23"/>
  <c r="H605" i="23"/>
  <c r="H604" i="23"/>
  <c r="H603" i="23"/>
  <c r="H602" i="23"/>
  <c r="H601" i="23"/>
  <c r="H600" i="23"/>
  <c r="H599" i="23"/>
  <c r="H598" i="23"/>
  <c r="H596" i="23"/>
  <c r="H595" i="23"/>
  <c r="H594" i="23"/>
  <c r="H593" i="23"/>
  <c r="H592" i="23"/>
  <c r="H591" i="23"/>
  <c r="H590" i="23"/>
  <c r="H589" i="23"/>
  <c r="H588" i="23"/>
  <c r="H587" i="23"/>
  <c r="H586" i="23"/>
  <c r="H585" i="23"/>
  <c r="H584" i="23"/>
  <c r="H583" i="23"/>
  <c r="H582" i="23"/>
  <c r="H581" i="23"/>
  <c r="H579" i="23"/>
  <c r="H578" i="23"/>
  <c r="H577" i="23"/>
  <c r="H576" i="23"/>
  <c r="H574" i="23"/>
  <c r="H573" i="23"/>
  <c r="H572" i="23"/>
  <c r="H571" i="23"/>
  <c r="H570" i="23"/>
  <c r="H569" i="23"/>
  <c r="H568" i="23"/>
  <c r="H567" i="23"/>
  <c r="H566" i="23"/>
  <c r="H565" i="23"/>
  <c r="H564" i="23"/>
  <c r="H562" i="23"/>
  <c r="H561" i="23"/>
  <c r="H560" i="23"/>
  <c r="H559" i="23"/>
  <c r="H556" i="23"/>
  <c r="H555" i="23"/>
  <c r="H554" i="23"/>
  <c r="H553" i="23"/>
  <c r="H552" i="23"/>
  <c r="H551" i="23"/>
  <c r="H550" i="23"/>
  <c r="H549" i="23"/>
  <c r="H547" i="23"/>
  <c r="H545" i="23"/>
  <c r="H544" i="23"/>
  <c r="H543" i="23"/>
  <c r="H542" i="23"/>
  <c r="H541" i="23"/>
  <c r="H540" i="23"/>
  <c r="H539" i="23"/>
  <c r="H538" i="23"/>
  <c r="H537" i="23"/>
  <c r="H535" i="23"/>
  <c r="H533" i="23"/>
  <c r="H531" i="23"/>
  <c r="H530" i="23"/>
  <c r="H529" i="23"/>
  <c r="H528" i="23"/>
  <c r="H527" i="23"/>
  <c r="H526" i="23"/>
  <c r="H525" i="23"/>
  <c r="H524" i="23"/>
  <c r="H523" i="23"/>
  <c r="H522" i="23"/>
  <c r="H521" i="23"/>
  <c r="H520" i="23"/>
  <c r="H519" i="23"/>
  <c r="H518" i="23"/>
  <c r="H517" i="23"/>
  <c r="H516" i="23"/>
  <c r="H514" i="23"/>
  <c r="H513" i="23"/>
  <c r="H512" i="23"/>
  <c r="H511" i="23"/>
  <c r="H510" i="23"/>
  <c r="H509" i="23"/>
  <c r="H508" i="23"/>
  <c r="H507" i="23"/>
  <c r="H506" i="23"/>
  <c r="H505" i="23"/>
  <c r="H504" i="23"/>
  <c r="H503" i="23"/>
  <c r="H502" i="23"/>
  <c r="H499" i="23"/>
  <c r="H498" i="23"/>
  <c r="H497" i="23"/>
  <c r="H496" i="23"/>
  <c r="H495" i="23"/>
  <c r="H494" i="23"/>
  <c r="H493" i="23"/>
  <c r="H492" i="23"/>
  <c r="H491" i="23"/>
  <c r="H490" i="23"/>
  <c r="H489" i="23"/>
  <c r="H488" i="23"/>
  <c r="H487" i="23"/>
  <c r="H486" i="23"/>
  <c r="H485" i="23"/>
  <c r="H484" i="23"/>
  <c r="H483" i="23"/>
  <c r="H482" i="23"/>
  <c r="H481" i="23"/>
  <c r="H480" i="23"/>
  <c r="H479" i="23"/>
  <c r="H478" i="23"/>
  <c r="H477" i="23"/>
  <c r="H476" i="23"/>
  <c r="H475" i="23"/>
  <c r="H474" i="23"/>
  <c r="H473" i="23"/>
  <c r="H472" i="23"/>
  <c r="H471" i="23"/>
  <c r="H470" i="23"/>
  <c r="H469" i="23"/>
  <c r="H468" i="23"/>
  <c r="H467" i="23"/>
  <c r="H466" i="23"/>
  <c r="H465" i="23"/>
  <c r="H464" i="23"/>
  <c r="H461" i="23"/>
  <c r="H460" i="23"/>
  <c r="H459" i="23"/>
  <c r="H458" i="23"/>
  <c r="H457" i="23"/>
  <c r="H456" i="23"/>
  <c r="H455" i="23"/>
  <c r="H454" i="23"/>
  <c r="H453" i="23"/>
  <c r="H452" i="23"/>
  <c r="H451" i="23"/>
  <c r="H449" i="23"/>
  <c r="H446" i="23"/>
  <c r="H445" i="23"/>
  <c r="H444" i="23"/>
  <c r="H443" i="23"/>
  <c r="H442" i="23"/>
  <c r="H441" i="23"/>
  <c r="H440" i="23"/>
  <c r="H439" i="23"/>
  <c r="H438" i="23"/>
  <c r="H437" i="23"/>
  <c r="H436" i="23"/>
  <c r="H435" i="23"/>
  <c r="H434" i="23"/>
  <c r="H433" i="23"/>
  <c r="H432" i="23"/>
  <c r="H431" i="23"/>
  <c r="H430" i="23"/>
  <c r="H429" i="23"/>
  <c r="H428" i="23"/>
  <c r="H427" i="23"/>
  <c r="H426" i="23"/>
  <c r="H425" i="23"/>
  <c r="H424" i="23"/>
  <c r="H423" i="23"/>
  <c r="H422" i="23"/>
  <c r="H421" i="23"/>
  <c r="H420" i="23"/>
  <c r="H419" i="23"/>
  <c r="H418" i="23"/>
  <c r="H414" i="23"/>
  <c r="H409" i="23"/>
  <c r="H407" i="23"/>
  <c r="H406" i="23"/>
  <c r="H405" i="23"/>
  <c r="H404" i="23"/>
  <c r="H403" i="23"/>
  <c r="H402" i="23"/>
  <c r="H401" i="23"/>
  <c r="H400" i="23"/>
  <c r="H399" i="23"/>
  <c r="H398" i="23"/>
  <c r="H397" i="23"/>
  <c r="H394" i="23"/>
  <c r="H393" i="23"/>
  <c r="H392" i="23"/>
  <c r="H391" i="23"/>
  <c r="H390" i="23"/>
  <c r="H387" i="23"/>
  <c r="H386" i="23"/>
  <c r="H385" i="23"/>
  <c r="H384" i="23"/>
  <c r="H383" i="23"/>
  <c r="H382" i="23"/>
  <c r="H381" i="23"/>
  <c r="H380" i="23"/>
  <c r="H379" i="23"/>
  <c r="H378" i="23"/>
  <c r="H377" i="23"/>
  <c r="H376" i="23"/>
  <c r="H375" i="23"/>
  <c r="H374" i="23"/>
  <c r="H372" i="23"/>
  <c r="H371" i="23"/>
  <c r="H369" i="23"/>
  <c r="H368" i="23"/>
  <c r="H366" i="23"/>
  <c r="H364" i="23"/>
  <c r="H363" i="23"/>
  <c r="H362" i="23"/>
  <c r="H361" i="23"/>
  <c r="H360" i="23"/>
  <c r="H356" i="23"/>
  <c r="H353" i="23"/>
  <c r="H352" i="23"/>
  <c r="H349" i="23"/>
  <c r="H348" i="23"/>
  <c r="H347" i="23"/>
  <c r="H346" i="23"/>
  <c r="H344" i="23"/>
  <c r="H341" i="23"/>
  <c r="H340" i="23"/>
  <c r="H339" i="23"/>
  <c r="H338" i="23"/>
  <c r="H337" i="23"/>
  <c r="H336" i="23"/>
  <c r="H333" i="23"/>
  <c r="H332" i="23"/>
  <c r="H331" i="23"/>
  <c r="H330" i="23"/>
  <c r="H329" i="23"/>
  <c r="H328" i="23"/>
  <c r="H324" i="23"/>
  <c r="H320" i="23"/>
  <c r="H318" i="23"/>
  <c r="H317" i="23"/>
  <c r="H316" i="23"/>
  <c r="H315" i="23"/>
  <c r="H313" i="23"/>
  <c r="H312" i="23"/>
  <c r="H310" i="23"/>
  <c r="H309" i="23"/>
  <c r="H308" i="23"/>
  <c r="H307" i="23"/>
  <c r="H306" i="23"/>
  <c r="H305" i="23"/>
  <c r="H304" i="23"/>
  <c r="H303" i="23"/>
  <c r="H302" i="23"/>
  <c r="H301" i="23"/>
  <c r="H300" i="23"/>
  <c r="H299" i="23"/>
  <c r="H298" i="23"/>
  <c r="H297" i="23"/>
  <c r="H296" i="23"/>
  <c r="H294" i="23"/>
  <c r="H292" i="23"/>
  <c r="H291" i="23"/>
  <c r="H290" i="23"/>
  <c r="H289" i="23"/>
  <c r="H288" i="23"/>
  <c r="H287" i="23"/>
  <c r="H286" i="23"/>
  <c r="H285" i="23"/>
  <c r="H284" i="23"/>
  <c r="H283" i="23"/>
  <c r="H282" i="23"/>
  <c r="H281" i="23"/>
  <c r="H280" i="23"/>
  <c r="H279" i="23"/>
  <c r="H278" i="23"/>
  <c r="H277" i="23"/>
  <c r="H276" i="23"/>
  <c r="H274" i="23"/>
  <c r="H273" i="23"/>
  <c r="H272" i="23"/>
  <c r="H271" i="23"/>
  <c r="H270" i="23"/>
  <c r="H269" i="23"/>
  <c r="H268" i="23"/>
  <c r="H267" i="23"/>
  <c r="H266" i="23"/>
  <c r="H265" i="23"/>
  <c r="H263" i="23"/>
  <c r="H261" i="23"/>
  <c r="H260" i="23"/>
  <c r="H259" i="23"/>
  <c r="H258" i="23"/>
  <c r="H257" i="23"/>
  <c r="H254" i="23"/>
  <c r="H253" i="23"/>
  <c r="H252" i="23"/>
  <c r="H250" i="23"/>
  <c r="H247" i="23"/>
  <c r="H245" i="23"/>
  <c r="H244" i="23"/>
  <c r="H243" i="23"/>
  <c r="H242" i="23"/>
  <c r="H241" i="23"/>
  <c r="H239" i="23"/>
  <c r="H238" i="23"/>
  <c r="H237" i="23"/>
  <c r="H236" i="23"/>
  <c r="H235" i="23"/>
  <c r="H233" i="23"/>
  <c r="H232" i="23"/>
  <c r="H231" i="23"/>
  <c r="H230" i="23"/>
  <c r="H229" i="23"/>
  <c r="H228" i="23"/>
  <c r="H227" i="23"/>
  <c r="H222" i="23"/>
  <c r="H217" i="23"/>
  <c r="H215" i="23"/>
  <c r="H214" i="23"/>
  <c r="H213" i="23"/>
  <c r="H212" i="23"/>
  <c r="H211" i="23"/>
  <c r="H210" i="23"/>
  <c r="H209" i="23"/>
  <c r="H208" i="23"/>
  <c r="H207" i="23"/>
  <c r="H206" i="23"/>
  <c r="H205" i="23"/>
  <c r="H204" i="23"/>
  <c r="H203" i="23"/>
  <c r="H202" i="23"/>
  <c r="H201" i="23"/>
  <c r="H200" i="23"/>
  <c r="H199" i="23"/>
  <c r="H198" i="23"/>
  <c r="H197" i="23"/>
  <c r="H196" i="23"/>
  <c r="H195" i="23"/>
  <c r="H194" i="23"/>
  <c r="H193" i="23"/>
  <c r="H192" i="23"/>
  <c r="H191" i="23"/>
  <c r="H190" i="23"/>
  <c r="H189" i="23"/>
  <c r="H188" i="23"/>
  <c r="H187" i="23"/>
  <c r="H186" i="23"/>
  <c r="H184" i="23"/>
  <c r="H183" i="23"/>
  <c r="H182" i="23"/>
  <c r="H180" i="23"/>
  <c r="H177" i="23"/>
  <c r="H175" i="23"/>
  <c r="H174" i="23"/>
  <c r="H173" i="23"/>
  <c r="H172" i="23"/>
  <c r="H171" i="23"/>
  <c r="H168" i="23"/>
  <c r="H167" i="23"/>
  <c r="H164" i="23"/>
  <c r="H161" i="23"/>
  <c r="H160" i="23"/>
  <c r="H158" i="23"/>
  <c r="H157" i="23"/>
  <c r="H154" i="23"/>
  <c r="H150" i="23"/>
  <c r="H147" i="23"/>
  <c r="H142" i="23"/>
  <c r="H140" i="23"/>
  <c r="H139" i="23"/>
  <c r="H138" i="23"/>
  <c r="H137" i="23"/>
  <c r="H134" i="23"/>
  <c r="H130" i="23"/>
  <c r="H128" i="23"/>
  <c r="H127" i="23"/>
  <c r="H126" i="23"/>
  <c r="H125" i="23"/>
  <c r="H124" i="23"/>
  <c r="H123" i="23"/>
  <c r="H121" i="23"/>
  <c r="H120" i="23"/>
  <c r="H116" i="23"/>
  <c r="H114" i="23"/>
  <c r="H113" i="23"/>
  <c r="H112" i="23"/>
  <c r="H111" i="23"/>
  <c r="H110" i="23"/>
  <c r="H109" i="23"/>
  <c r="H108" i="23"/>
  <c r="H107" i="23"/>
  <c r="H106" i="23"/>
  <c r="H105" i="23"/>
  <c r="H104" i="23"/>
  <c r="H103" i="23"/>
  <c r="H102" i="23"/>
  <c r="H101" i="23"/>
  <c r="H100" i="23"/>
  <c r="H99" i="23"/>
  <c r="H98" i="23"/>
  <c r="H97" i="23"/>
  <c r="H96" i="23"/>
  <c r="H95" i="23"/>
  <c r="H94" i="23"/>
  <c r="H93" i="23"/>
  <c r="H92" i="23"/>
  <c r="H91" i="23"/>
  <c r="H89" i="23"/>
  <c r="H87" i="23"/>
  <c r="H86" i="23"/>
  <c r="H84" i="23"/>
  <c r="H83" i="23"/>
  <c r="H82" i="23"/>
  <c r="H81" i="23"/>
  <c r="H80" i="23"/>
  <c r="H79" i="23"/>
  <c r="H78" i="23"/>
  <c r="H77" i="23"/>
  <c r="H76" i="23"/>
  <c r="H75" i="23"/>
  <c r="H74" i="23"/>
  <c r="H73" i="23"/>
  <c r="H72" i="23"/>
  <c r="H71" i="23"/>
  <c r="H70" i="23"/>
  <c r="H69" i="23"/>
  <c r="H68" i="23"/>
  <c r="H66" i="23"/>
  <c r="H65" i="23"/>
  <c r="H64" i="23"/>
  <c r="H63" i="23"/>
  <c r="H62" i="23"/>
  <c r="H61" i="23"/>
  <c r="H60" i="23"/>
  <c r="H59" i="23"/>
  <c r="H58" i="23"/>
  <c r="H57" i="23"/>
  <c r="H56" i="23"/>
  <c r="H55" i="23"/>
  <c r="H54" i="23"/>
  <c r="H51" i="23"/>
  <c r="H50" i="23"/>
  <c r="H49" i="23"/>
  <c r="H48" i="23"/>
  <c r="H47" i="23"/>
  <c r="H45" i="23"/>
  <c r="H44" i="23"/>
  <c r="H43" i="23"/>
  <c r="H42" i="23"/>
  <c r="H41" i="23"/>
  <c r="H40" i="23"/>
  <c r="H39" i="23"/>
  <c r="H38" i="23"/>
  <c r="H37" i="23"/>
  <c r="H35" i="23"/>
  <c r="H30" i="23"/>
  <c r="H28" i="23"/>
  <c r="H27" i="23"/>
  <c r="H26" i="23"/>
  <c r="H25" i="23"/>
  <c r="H24" i="23"/>
  <c r="H23" i="23"/>
  <c r="H22" i="23"/>
  <c r="H21" i="23"/>
  <c r="H20" i="23"/>
  <c r="H19" i="23"/>
  <c r="H16" i="23"/>
  <c r="H13" i="23"/>
  <c r="H9" i="23"/>
  <c r="G417" i="23" l="1"/>
  <c r="E35" i="24" l="1"/>
  <c r="E10" i="24"/>
  <c r="E7" i="24"/>
  <c r="E9" i="24"/>
  <c r="E11" i="24"/>
  <c r="E12" i="24"/>
  <c r="E14" i="24"/>
  <c r="E17" i="24"/>
  <c r="E18" i="24"/>
  <c r="E20" i="24"/>
  <c r="E22" i="24"/>
  <c r="E23" i="24"/>
  <c r="E25" i="24"/>
  <c r="E27" i="24"/>
  <c r="E29" i="24"/>
  <c r="E30" i="24"/>
  <c r="E31" i="24"/>
  <c r="E32" i="24"/>
  <c r="E34" i="24"/>
  <c r="E36" i="24"/>
  <c r="E37" i="24"/>
  <c r="E38" i="24"/>
  <c r="E39" i="24"/>
  <c r="E7" i="20"/>
  <c r="E8" i="20"/>
  <c r="E9" i="20"/>
  <c r="E10" i="20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E33" i="20"/>
  <c r="E34" i="20"/>
  <c r="E35" i="20"/>
  <c r="E36" i="20"/>
  <c r="E37" i="20"/>
  <c r="E38" i="20"/>
  <c r="E39" i="20"/>
  <c r="E40" i="20"/>
  <c r="E41" i="20"/>
  <c r="E42" i="20"/>
  <c r="E43" i="20"/>
  <c r="E44" i="20"/>
  <c r="E45" i="20"/>
  <c r="E46" i="20"/>
  <c r="E47" i="20"/>
  <c r="E48" i="20"/>
  <c r="E49" i="20"/>
  <c r="E50" i="20"/>
  <c r="E51" i="20"/>
  <c r="E6" i="20"/>
  <c r="E6" i="24" l="1"/>
  <c r="E16" i="24"/>
  <c r="E13" i="24"/>
  <c r="E21" i="24"/>
  <c r="E24" i="24"/>
  <c r="E8" i="24"/>
  <c r="E15" i="24"/>
  <c r="E26" i="24"/>
  <c r="E19" i="24" l="1"/>
  <c r="E33" i="24" l="1"/>
  <c r="E40" i="24"/>
  <c r="E63" i="12" l="1"/>
  <c r="E62" i="12"/>
  <c r="E61" i="12"/>
  <c r="E60" i="12"/>
  <c r="E59" i="12"/>
  <c r="E57" i="12"/>
  <c r="E55" i="12"/>
  <c r="E54" i="12"/>
  <c r="E53" i="12"/>
  <c r="E51" i="12"/>
  <c r="E50" i="12"/>
  <c r="E48" i="12"/>
  <c r="E47" i="12"/>
  <c r="E45" i="12"/>
  <c r="E44" i="12"/>
  <c r="E42" i="12"/>
  <c r="E41" i="12"/>
  <c r="E40" i="12"/>
  <c r="E38" i="12"/>
  <c r="E37" i="12"/>
  <c r="E36" i="12"/>
  <c r="E35" i="12"/>
  <c r="E34" i="12"/>
  <c r="E32" i="12"/>
  <c r="E31" i="12"/>
  <c r="E30" i="12"/>
  <c r="E29" i="12"/>
  <c r="E27" i="12"/>
  <c r="E24" i="12"/>
  <c r="E23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6" i="12"/>
  <c r="G1235" i="23" l="1"/>
  <c r="G1234" i="23"/>
  <c r="G1436" i="23"/>
  <c r="H1436" i="23" s="1"/>
  <c r="G155" i="23"/>
  <c r="H155" i="23" s="1"/>
  <c r="G275" i="23"/>
  <c r="G251" i="23"/>
  <c r="H251" i="23" s="1"/>
  <c r="G1355" i="23"/>
  <c r="H1355" i="23" s="1"/>
  <c r="G1352" i="23"/>
  <c r="G1438" i="23"/>
  <c r="D416" i="4"/>
  <c r="G775" i="23"/>
  <c r="G359" i="23"/>
  <c r="G358" i="23"/>
  <c r="G357" i="23" s="1"/>
  <c r="G367" i="23"/>
  <c r="E71" i="19" l="1"/>
  <c r="E70" i="19"/>
  <c r="E67" i="19"/>
  <c r="E65" i="19"/>
  <c r="E63" i="19"/>
  <c r="E62" i="19"/>
  <c r="E61" i="19"/>
  <c r="E60" i="19"/>
  <c r="E58" i="19"/>
  <c r="E57" i="19"/>
  <c r="E56" i="19"/>
  <c r="E54" i="19"/>
  <c r="E52" i="19"/>
  <c r="E48" i="19"/>
  <c r="E47" i="19"/>
  <c r="E44" i="19"/>
  <c r="E43" i="19"/>
  <c r="E42" i="19"/>
  <c r="E41" i="19"/>
  <c r="E35" i="19"/>
  <c r="E33" i="19"/>
  <c r="E31" i="19"/>
  <c r="E29" i="19"/>
  <c r="E28" i="19"/>
  <c r="E27" i="19"/>
  <c r="E26" i="19"/>
  <c r="E25" i="19"/>
  <c r="E24" i="19"/>
  <c r="E22" i="19"/>
  <c r="E21" i="19"/>
  <c r="E20" i="19"/>
  <c r="E19" i="19"/>
  <c r="E18" i="19"/>
  <c r="E17" i="19"/>
  <c r="E16" i="19"/>
  <c r="E15" i="19"/>
  <c r="E14" i="19"/>
  <c r="E13" i="19"/>
  <c r="E12" i="19"/>
  <c r="E11" i="19"/>
  <c r="E10" i="19"/>
  <c r="E9" i="19"/>
  <c r="E8" i="19"/>
  <c r="G1602" i="23" l="1"/>
  <c r="F1602" i="23"/>
  <c r="E1602" i="23"/>
  <c r="G1601" i="23"/>
  <c r="F1601" i="23"/>
  <c r="E1601" i="23"/>
  <c r="G1600" i="23"/>
  <c r="F1600" i="23"/>
  <c r="E1600" i="23"/>
  <c r="G1599" i="23"/>
  <c r="F1599" i="23"/>
  <c r="E1599" i="23"/>
  <c r="G1598" i="23"/>
  <c r="F1598" i="23"/>
  <c r="E1598" i="23"/>
  <c r="G1597" i="23"/>
  <c r="F1597" i="23"/>
  <c r="E1597" i="23"/>
  <c r="G1596" i="23"/>
  <c r="F1596" i="23"/>
  <c r="E1596" i="23"/>
  <c r="G1595" i="23"/>
  <c r="F1595" i="23"/>
  <c r="E1595" i="23"/>
  <c r="G1594" i="23"/>
  <c r="F1594" i="23"/>
  <c r="E1594" i="23"/>
  <c r="G1593" i="23"/>
  <c r="F1593" i="23"/>
  <c r="E1593" i="23"/>
  <c r="G1592" i="23"/>
  <c r="F1592" i="23"/>
  <c r="E1592" i="23"/>
  <c r="G1591" i="23"/>
  <c r="F1591" i="23"/>
  <c r="E1591" i="23"/>
  <c r="G1590" i="23"/>
  <c r="E1590" i="23"/>
  <c r="G1589" i="23"/>
  <c r="F1589" i="23"/>
  <c r="E1589" i="23"/>
  <c r="G1588" i="23"/>
  <c r="E1588" i="23"/>
  <c r="G1587" i="23"/>
  <c r="F1587" i="23"/>
  <c r="E1587" i="23"/>
  <c r="E1586" i="23"/>
  <c r="E1585" i="23"/>
  <c r="G1584" i="23"/>
  <c r="F1584" i="23"/>
  <c r="E1584" i="23"/>
  <c r="G1583" i="23"/>
  <c r="F1583" i="23"/>
  <c r="E1583" i="23"/>
  <c r="E1582" i="23"/>
  <c r="G1581" i="23"/>
  <c r="F1581" i="23"/>
  <c r="E1581" i="23"/>
  <c r="G1576" i="23"/>
  <c r="F1576" i="23"/>
  <c r="E1576" i="23"/>
  <c r="D1576" i="23"/>
  <c r="G1575" i="23"/>
  <c r="F1575" i="23"/>
  <c r="E1575" i="23"/>
  <c r="D1575" i="23"/>
  <c r="G1574" i="23"/>
  <c r="F1574" i="23"/>
  <c r="E1574" i="23"/>
  <c r="D1574" i="23"/>
  <c r="G1573" i="23"/>
  <c r="E1573" i="23"/>
  <c r="G1572" i="23"/>
  <c r="F1572" i="23"/>
  <c r="E1572" i="23"/>
  <c r="D1572" i="23"/>
  <c r="G1571" i="23"/>
  <c r="F1571" i="23"/>
  <c r="E1571" i="23"/>
  <c r="D1571" i="23"/>
  <c r="G1570" i="23"/>
  <c r="F1570" i="23"/>
  <c r="E1570" i="23"/>
  <c r="G1569" i="23"/>
  <c r="F1569" i="23"/>
  <c r="E1569" i="23"/>
  <c r="D1569" i="23"/>
  <c r="G1568" i="23"/>
  <c r="E1568" i="23"/>
  <c r="D1568" i="23"/>
  <c r="F1558" i="23"/>
  <c r="E1558" i="23"/>
  <c r="F1557" i="23"/>
  <c r="E1557" i="23"/>
  <c r="E1556" i="23"/>
  <c r="F1555" i="23"/>
  <c r="E1555" i="23"/>
  <c r="E1554" i="23"/>
  <c r="E1553" i="23"/>
  <c r="E1552" i="23"/>
  <c r="E1550" i="23"/>
  <c r="E1548" i="23"/>
  <c r="G1547" i="23"/>
  <c r="E1547" i="23"/>
  <c r="G1546" i="23"/>
  <c r="E1546" i="23"/>
  <c r="E1545" i="23"/>
  <c r="E1544" i="23"/>
  <c r="G1540" i="23"/>
  <c r="F1540" i="23"/>
  <c r="E1540" i="23"/>
  <c r="D1540" i="23"/>
  <c r="G1539" i="23"/>
  <c r="F1539" i="23"/>
  <c r="E1539" i="23"/>
  <c r="D1539" i="23"/>
  <c r="G1538" i="23"/>
  <c r="E1538" i="23"/>
  <c r="G1537" i="23"/>
  <c r="F1537" i="23"/>
  <c r="E1537" i="23"/>
  <c r="D1537" i="23"/>
  <c r="G1536" i="23"/>
  <c r="F1536" i="23"/>
  <c r="E1536" i="23"/>
  <c r="D1536" i="23"/>
  <c r="G1535" i="23"/>
  <c r="F1535" i="23"/>
  <c r="E1535" i="23"/>
  <c r="G1534" i="23"/>
  <c r="F1534" i="23"/>
  <c r="E1534" i="23"/>
  <c r="D1534" i="23"/>
  <c r="G1533" i="23"/>
  <c r="F1533" i="23"/>
  <c r="E1533" i="23"/>
  <c r="D1533" i="23"/>
  <c r="G1532" i="23"/>
  <c r="F1532" i="23"/>
  <c r="E1532" i="23"/>
  <c r="D1532" i="23"/>
  <c r="G1531" i="23"/>
  <c r="E1531" i="23"/>
  <c r="D1531" i="23"/>
  <c r="G1501" i="23"/>
  <c r="F1501" i="23"/>
  <c r="E1501" i="23"/>
  <c r="D1501" i="23"/>
  <c r="G1496" i="23"/>
  <c r="F1496" i="23"/>
  <c r="E1496" i="23"/>
  <c r="D1496" i="23"/>
  <c r="G1495" i="23"/>
  <c r="F1495" i="23"/>
  <c r="E1495" i="23"/>
  <c r="D1495" i="23"/>
  <c r="G1494" i="23"/>
  <c r="F1494" i="23"/>
  <c r="E1494" i="23"/>
  <c r="D1494" i="23"/>
  <c r="G1493" i="23"/>
  <c r="E1493" i="23"/>
  <c r="G1492" i="23"/>
  <c r="F1492" i="23"/>
  <c r="E1492" i="23"/>
  <c r="D1492" i="23"/>
  <c r="G1491" i="23"/>
  <c r="F1491" i="23"/>
  <c r="E1491" i="23"/>
  <c r="D1491" i="23"/>
  <c r="G1490" i="23"/>
  <c r="F1490" i="23"/>
  <c r="E1490" i="23"/>
  <c r="G1489" i="23"/>
  <c r="F1489" i="23"/>
  <c r="E1489" i="23"/>
  <c r="D1489" i="23"/>
  <c r="G1488" i="23"/>
  <c r="E1488" i="23"/>
  <c r="D1488" i="23"/>
  <c r="G1457" i="23"/>
  <c r="F1457" i="23"/>
  <c r="E1457" i="23"/>
  <c r="D1457" i="23"/>
  <c r="F1441" i="23"/>
  <c r="D1441" i="23"/>
  <c r="D1438" i="23"/>
  <c r="H1438" i="23" s="1"/>
  <c r="G1437" i="23"/>
  <c r="G1435" i="23" s="1"/>
  <c r="E1437" i="23"/>
  <c r="E1435" i="23" s="1"/>
  <c r="F1426" i="23"/>
  <c r="H1426" i="23" s="1"/>
  <c r="D1409" i="23"/>
  <c r="H1409" i="23" s="1"/>
  <c r="D1403" i="23"/>
  <c r="H1403" i="23" s="1"/>
  <c r="G1402" i="23"/>
  <c r="G1400" i="23" s="1"/>
  <c r="D1402" i="23"/>
  <c r="F1400" i="23"/>
  <c r="D1398" i="23"/>
  <c r="H1398" i="23" s="1"/>
  <c r="G1397" i="23"/>
  <c r="F1397" i="23"/>
  <c r="G1388" i="23"/>
  <c r="G1387" i="23" s="1"/>
  <c r="F1388" i="23"/>
  <c r="F1387" i="23" s="1"/>
  <c r="E1388" i="23"/>
  <c r="E1387" i="23" s="1"/>
  <c r="E1370" i="23" s="1"/>
  <c r="E1374" i="23" s="1"/>
  <c r="E1566" i="23" s="1"/>
  <c r="D1388" i="23"/>
  <c r="G1384" i="23"/>
  <c r="F1381" i="23"/>
  <c r="F1380" i="23" s="1"/>
  <c r="D1381" i="23"/>
  <c r="G1376" i="23"/>
  <c r="F1376" i="23"/>
  <c r="D1376" i="23"/>
  <c r="D1353" i="23"/>
  <c r="H1353" i="23" s="1"/>
  <c r="D1352" i="23"/>
  <c r="H1352" i="23" s="1"/>
  <c r="G1350" i="23"/>
  <c r="F1350" i="23"/>
  <c r="G1347" i="23"/>
  <c r="F1347" i="23"/>
  <c r="D1347" i="23"/>
  <c r="D1340" i="23"/>
  <c r="H1340" i="23" s="1"/>
  <c r="G1338" i="23"/>
  <c r="G1337" i="23" s="1"/>
  <c r="F1338" i="23"/>
  <c r="F1337" i="23" s="1"/>
  <c r="E1338" i="23"/>
  <c r="E1337" i="23" s="1"/>
  <c r="E1321" i="23" s="1"/>
  <c r="E1325" i="23" s="1"/>
  <c r="E1565" i="23" s="1"/>
  <c r="D1334" i="23"/>
  <c r="H1334" i="23" s="1"/>
  <c r="G1332" i="23"/>
  <c r="G1331" i="23" s="1"/>
  <c r="F1332" i="23"/>
  <c r="F1331" i="23" s="1"/>
  <c r="D1328" i="23"/>
  <c r="H1328" i="23" s="1"/>
  <c r="G1327" i="23"/>
  <c r="F1327" i="23"/>
  <c r="D1301" i="23"/>
  <c r="H1301" i="23" s="1"/>
  <c r="G1300" i="23"/>
  <c r="D1300" i="23"/>
  <c r="F1298" i="23"/>
  <c r="D1296" i="23"/>
  <c r="H1296" i="23" s="1"/>
  <c r="G1295" i="23"/>
  <c r="F1295" i="23"/>
  <c r="D1292" i="23"/>
  <c r="H1292" i="23" s="1"/>
  <c r="D1285" i="23"/>
  <c r="H1285" i="23" s="1"/>
  <c r="D1284" i="23"/>
  <c r="H1284" i="23" s="1"/>
  <c r="G1282" i="23"/>
  <c r="F1282" i="23"/>
  <c r="E1282" i="23"/>
  <c r="D1280" i="23"/>
  <c r="H1280" i="23" s="1"/>
  <c r="D1279" i="23"/>
  <c r="G1277" i="23"/>
  <c r="F1277" i="23"/>
  <c r="E1277" i="23"/>
  <c r="G1272" i="23"/>
  <c r="F1272" i="23"/>
  <c r="E1272" i="23"/>
  <c r="D1272" i="23"/>
  <c r="G1265" i="23"/>
  <c r="G1264" i="23" s="1"/>
  <c r="F1265" i="23"/>
  <c r="F1264" i="23" s="1"/>
  <c r="D1265" i="23"/>
  <c r="G1260" i="23"/>
  <c r="F1260" i="23"/>
  <c r="D1260" i="23"/>
  <c r="D1235" i="23"/>
  <c r="H1235" i="23" s="1"/>
  <c r="D1234" i="23"/>
  <c r="F1232" i="23"/>
  <c r="G1229" i="23"/>
  <c r="F1229" i="23"/>
  <c r="D1229" i="23"/>
  <c r="G1223" i="23"/>
  <c r="D1223" i="23"/>
  <c r="G1222" i="23"/>
  <c r="G1220" i="23" s="1"/>
  <c r="G1218" i="23" s="1"/>
  <c r="D1222" i="23"/>
  <c r="F1220" i="23"/>
  <c r="F1218" i="23" s="1"/>
  <c r="E1220" i="23"/>
  <c r="E1218" i="23" s="1"/>
  <c r="E1202" i="23" s="1"/>
  <c r="E1206" i="23" s="1"/>
  <c r="G1216" i="23"/>
  <c r="H1216" i="23" s="1"/>
  <c r="G1215" i="23"/>
  <c r="H1215" i="23" s="1"/>
  <c r="F1213" i="23"/>
  <c r="D1213" i="23"/>
  <c r="G1209" i="23"/>
  <c r="H1209" i="23" s="1"/>
  <c r="F1208" i="23"/>
  <c r="D1208" i="23"/>
  <c r="D1183" i="23"/>
  <c r="H1183" i="23" s="1"/>
  <c r="G1181" i="23"/>
  <c r="F1181" i="23"/>
  <c r="G1174" i="23"/>
  <c r="G1173" i="23" s="1"/>
  <c r="F1174" i="23"/>
  <c r="F1173" i="23" s="1"/>
  <c r="D1174" i="23"/>
  <c r="G1170" i="23"/>
  <c r="F1170" i="23"/>
  <c r="D1170" i="23"/>
  <c r="G1161" i="23"/>
  <c r="G1160" i="23" s="1"/>
  <c r="F1161" i="23"/>
  <c r="F1160" i="23" s="1"/>
  <c r="E1161" i="23"/>
  <c r="E1160" i="23" s="1"/>
  <c r="E1138" i="23" s="1"/>
  <c r="E1142" i="23" s="1"/>
  <c r="D1161" i="23"/>
  <c r="G1155" i="23"/>
  <c r="G1154" i="23" s="1"/>
  <c r="F1155" i="23"/>
  <c r="F1154" i="23" s="1"/>
  <c r="D1155" i="23"/>
  <c r="G1152" i="23"/>
  <c r="H1152" i="23" s="1"/>
  <c r="G1151" i="23"/>
  <c r="H1151" i="23" s="1"/>
  <c r="F1149" i="23"/>
  <c r="F1148" i="23" s="1"/>
  <c r="D1149" i="23"/>
  <c r="G1144" i="23"/>
  <c r="F1144" i="23"/>
  <c r="D1144" i="23"/>
  <c r="D1131" i="23"/>
  <c r="H1131" i="23" s="1"/>
  <c r="D1121" i="23"/>
  <c r="H1121" i="23" s="1"/>
  <c r="G1119" i="23"/>
  <c r="D1119" i="23"/>
  <c r="D1118" i="23"/>
  <c r="H1118" i="23" s="1"/>
  <c r="G1116" i="23"/>
  <c r="F1116" i="23"/>
  <c r="G1113" i="23"/>
  <c r="F1113" i="23"/>
  <c r="D1113" i="23"/>
  <c r="G1104" i="23"/>
  <c r="G1103" i="23" s="1"/>
  <c r="F1104" i="23"/>
  <c r="F1103" i="23" s="1"/>
  <c r="E1104" i="23"/>
  <c r="E1103" i="23" s="1"/>
  <c r="E1097" i="23" s="1"/>
  <c r="E1101" i="23" s="1"/>
  <c r="D1104" i="23"/>
  <c r="G1086" i="23"/>
  <c r="D1086" i="23"/>
  <c r="D1066" i="23"/>
  <c r="H1066" i="23" s="1"/>
  <c r="G1065" i="23"/>
  <c r="D1065" i="23"/>
  <c r="F1063" i="23"/>
  <c r="G1059" i="23"/>
  <c r="F1059" i="23"/>
  <c r="D1059" i="23"/>
  <c r="G1050" i="23"/>
  <c r="G1049" i="23" s="1"/>
  <c r="F1050" i="23"/>
  <c r="F1049" i="23" s="1"/>
  <c r="E1050" i="23"/>
  <c r="E1049" i="23" s="1"/>
  <c r="E1033" i="23" s="1"/>
  <c r="E1037" i="23" s="1"/>
  <c r="D1050" i="23"/>
  <c r="G1046" i="23"/>
  <c r="H1046" i="23" s="1"/>
  <c r="F1044" i="23"/>
  <c r="F1043" i="23" s="1"/>
  <c r="D1044" i="23"/>
  <c r="G1039" i="23"/>
  <c r="F1039" i="23"/>
  <c r="D1039" i="23"/>
  <c r="G1011" i="23"/>
  <c r="F1011" i="23"/>
  <c r="D1011" i="23"/>
  <c r="G1008" i="23"/>
  <c r="F1008" i="23"/>
  <c r="D1008" i="23"/>
  <c r="G999" i="23"/>
  <c r="G998" i="23" s="1"/>
  <c r="F999" i="23"/>
  <c r="F998" i="23" s="1"/>
  <c r="E999" i="23"/>
  <c r="E998" i="23" s="1"/>
  <c r="E982" i="23" s="1"/>
  <c r="E986" i="23" s="1"/>
  <c r="D999" i="23"/>
  <c r="G995" i="23"/>
  <c r="H995" i="23" s="1"/>
  <c r="F993" i="23"/>
  <c r="D993" i="23"/>
  <c r="G988" i="23"/>
  <c r="F988" i="23"/>
  <c r="D988" i="23"/>
  <c r="G971" i="23"/>
  <c r="G974" i="23" s="1"/>
  <c r="G1558" i="23" s="1"/>
  <c r="D971" i="23"/>
  <c r="D966" i="23"/>
  <c r="H966" i="23" s="1"/>
  <c r="F961" i="23"/>
  <c r="H961" i="23" s="1"/>
  <c r="G954" i="23"/>
  <c r="G958" i="23" s="1"/>
  <c r="D924" i="23"/>
  <c r="H924" i="23" s="1"/>
  <c r="D919" i="23"/>
  <c r="H919" i="23" s="1"/>
  <c r="D918" i="23"/>
  <c r="H918" i="23" s="1"/>
  <c r="G916" i="23"/>
  <c r="F916" i="23"/>
  <c r="D914" i="23"/>
  <c r="H914" i="23" s="1"/>
  <c r="D913" i="23"/>
  <c r="G912" i="23"/>
  <c r="F912" i="23"/>
  <c r="G909" i="23"/>
  <c r="D909" i="23"/>
  <c r="D907" i="23"/>
  <c r="H907" i="23" s="1"/>
  <c r="D903" i="23"/>
  <c r="H903" i="23" s="1"/>
  <c r="G901" i="23"/>
  <c r="D901" i="23"/>
  <c r="G900" i="23"/>
  <c r="D896" i="23"/>
  <c r="H896" i="23" s="1"/>
  <c r="G893" i="23"/>
  <c r="G892" i="23"/>
  <c r="F892" i="23"/>
  <c r="D892" i="23"/>
  <c r="G885" i="23"/>
  <c r="F885" i="23"/>
  <c r="D885" i="23"/>
  <c r="F881" i="23"/>
  <c r="D861" i="23"/>
  <c r="H861" i="23" s="1"/>
  <c r="G839" i="23"/>
  <c r="H839" i="23" s="1"/>
  <c r="D838" i="23"/>
  <c r="H838" i="23" s="1"/>
  <c r="D835" i="23"/>
  <c r="H835" i="23" s="1"/>
  <c r="D834" i="23"/>
  <c r="H834" i="23" s="1"/>
  <c r="D827" i="23"/>
  <c r="H827" i="23" s="1"/>
  <c r="D826" i="23"/>
  <c r="H826" i="23" s="1"/>
  <c r="D821" i="23"/>
  <c r="H821" i="23" s="1"/>
  <c r="G813" i="23"/>
  <c r="D813" i="23"/>
  <c r="G812" i="23"/>
  <c r="G811" i="23" s="1"/>
  <c r="D812" i="23"/>
  <c r="D792" i="23"/>
  <c r="H792" i="23" s="1"/>
  <c r="G783" i="23"/>
  <c r="D783" i="23"/>
  <c r="F780" i="23"/>
  <c r="D780" i="23"/>
  <c r="G778" i="23"/>
  <c r="D776" i="23"/>
  <c r="H776" i="23" s="1"/>
  <c r="D775" i="23"/>
  <c r="H775" i="23" s="1"/>
  <c r="F755" i="23"/>
  <c r="D755" i="23"/>
  <c r="G755" i="23"/>
  <c r="G754" i="23" s="1"/>
  <c r="F751" i="23"/>
  <c r="H751" i="23" s="1"/>
  <c r="D738" i="23"/>
  <c r="H738" i="23" s="1"/>
  <c r="D728" i="23"/>
  <c r="H728" i="23" s="1"/>
  <c r="G717" i="23"/>
  <c r="G712" i="23" s="1"/>
  <c r="F717" i="23"/>
  <c r="F712" i="23" s="1"/>
  <c r="D717" i="23"/>
  <c r="G706" i="23"/>
  <c r="F706" i="23"/>
  <c r="D706" i="23"/>
  <c r="G705" i="23"/>
  <c r="G704" i="23" s="1"/>
  <c r="F705" i="23"/>
  <c r="D705" i="23"/>
  <c r="G699" i="23"/>
  <c r="F699" i="23"/>
  <c r="D699" i="23"/>
  <c r="G698" i="23"/>
  <c r="F698" i="23"/>
  <c r="D698" i="23"/>
  <c r="D685" i="23"/>
  <c r="H685" i="23" s="1"/>
  <c r="D681" i="23"/>
  <c r="H681" i="23" s="1"/>
  <c r="G676" i="23"/>
  <c r="F676" i="23"/>
  <c r="D676" i="23"/>
  <c r="G675" i="23"/>
  <c r="F675" i="23"/>
  <c r="G659" i="23"/>
  <c r="F659" i="23"/>
  <c r="D659" i="23"/>
  <c r="G658" i="23"/>
  <c r="F658" i="23"/>
  <c r="D658" i="23"/>
  <c r="D646" i="23"/>
  <c r="H646" i="23" s="1"/>
  <c r="D635" i="23"/>
  <c r="H635" i="23" s="1"/>
  <c r="D634" i="23"/>
  <c r="H634" i="23" s="1"/>
  <c r="G632" i="23"/>
  <c r="G625" i="23" s="1"/>
  <c r="F628" i="23"/>
  <c r="H628" i="23" s="1"/>
  <c r="F625" i="23"/>
  <c r="F609" i="23" s="1"/>
  <c r="F613" i="23" s="1"/>
  <c r="E625" i="23"/>
  <c r="D621" i="23"/>
  <c r="H621" i="23" s="1"/>
  <c r="G616" i="23"/>
  <c r="G615" i="23" s="1"/>
  <c r="D616" i="23"/>
  <c r="D597" i="23"/>
  <c r="H597" i="23" s="1"/>
  <c r="D580" i="23"/>
  <c r="H580" i="23" s="1"/>
  <c r="G575" i="23"/>
  <c r="F575" i="23"/>
  <c r="F563" i="23"/>
  <c r="D563" i="23"/>
  <c r="F558" i="23"/>
  <c r="H558" i="23" s="1"/>
  <c r="G557" i="23"/>
  <c r="D557" i="23"/>
  <c r="G548" i="23"/>
  <c r="F548" i="23"/>
  <c r="D548" i="23"/>
  <c r="D536" i="23"/>
  <c r="H536" i="23" s="1"/>
  <c r="E534" i="23"/>
  <c r="E532" i="23" s="1"/>
  <c r="D515" i="23"/>
  <c r="H515" i="23" s="1"/>
  <c r="G501" i="23"/>
  <c r="F501" i="23"/>
  <c r="E501" i="23"/>
  <c r="D501" i="23"/>
  <c r="G500" i="23"/>
  <c r="F500" i="23"/>
  <c r="E500" i="23"/>
  <c r="G463" i="23"/>
  <c r="F463" i="23"/>
  <c r="E463" i="23"/>
  <c r="D463" i="23"/>
  <c r="G462" i="23"/>
  <c r="F462" i="23"/>
  <c r="E462" i="23"/>
  <c r="D462" i="23"/>
  <c r="D450" i="23"/>
  <c r="H450" i="23" s="1"/>
  <c r="G448" i="23"/>
  <c r="F448" i="23"/>
  <c r="E448" i="23"/>
  <c r="D448" i="23"/>
  <c r="G447" i="23"/>
  <c r="F447" i="23"/>
  <c r="E447" i="23"/>
  <c r="F417" i="23"/>
  <c r="E417" i="23"/>
  <c r="D417" i="23"/>
  <c r="G416" i="23"/>
  <c r="F416" i="23"/>
  <c r="E416" i="23"/>
  <c r="D416" i="23"/>
  <c r="G396" i="23"/>
  <c r="F396" i="23"/>
  <c r="F388" i="23" s="1"/>
  <c r="D396" i="23"/>
  <c r="G395" i="23"/>
  <c r="H395" i="23" s="1"/>
  <c r="D389" i="23"/>
  <c r="H389" i="23" s="1"/>
  <c r="G373" i="23"/>
  <c r="F373" i="23"/>
  <c r="D373" i="23"/>
  <c r="D370" i="23"/>
  <c r="H370" i="23" s="1"/>
  <c r="F367" i="23"/>
  <c r="H367" i="23" s="1"/>
  <c r="D359" i="23"/>
  <c r="H359" i="23" s="1"/>
  <c r="D358" i="23"/>
  <c r="H358" i="23" s="1"/>
  <c r="D355" i="23"/>
  <c r="H355" i="23" s="1"/>
  <c r="D354" i="23"/>
  <c r="H354" i="23" s="1"/>
  <c r="G351" i="23"/>
  <c r="F351" i="23"/>
  <c r="G350" i="23"/>
  <c r="F350" i="23"/>
  <c r="D345" i="23"/>
  <c r="H345" i="23" s="1"/>
  <c r="G343" i="23"/>
  <c r="H343" i="23" s="1"/>
  <c r="G342" i="23"/>
  <c r="H342" i="23" s="1"/>
  <c r="D335" i="23"/>
  <c r="H335" i="23" s="1"/>
  <c r="G334" i="23"/>
  <c r="D334" i="23"/>
  <c r="F327" i="23"/>
  <c r="F326" i="23"/>
  <c r="G314" i="23"/>
  <c r="H314" i="23" s="1"/>
  <c r="G311" i="23"/>
  <c r="H311" i="23" s="1"/>
  <c r="D295" i="23"/>
  <c r="H295" i="23" s="1"/>
  <c r="G293" i="23"/>
  <c r="H293" i="23" s="1"/>
  <c r="D275" i="23"/>
  <c r="H275" i="23" s="1"/>
  <c r="G264" i="23"/>
  <c r="H264" i="23" s="1"/>
  <c r="F262" i="23"/>
  <c r="H262" i="23" s="1"/>
  <c r="G256" i="23"/>
  <c r="H256" i="23" s="1"/>
  <c r="D255" i="23"/>
  <c r="H255" i="23" s="1"/>
  <c r="G249" i="23"/>
  <c r="D249" i="23"/>
  <c r="G248" i="23"/>
  <c r="D248" i="23"/>
  <c r="F246" i="23"/>
  <c r="E246" i="23"/>
  <c r="G240" i="23"/>
  <c r="H240" i="23" s="1"/>
  <c r="G234" i="23"/>
  <c r="H234" i="23" s="1"/>
  <c r="G226" i="23"/>
  <c r="H226" i="23" s="1"/>
  <c r="G225" i="23"/>
  <c r="H225" i="23" s="1"/>
  <c r="F224" i="23"/>
  <c r="E224" i="23"/>
  <c r="D224" i="23"/>
  <c r="F223" i="23"/>
  <c r="E223" i="23"/>
  <c r="D223" i="23"/>
  <c r="D185" i="23"/>
  <c r="H185" i="23" s="1"/>
  <c r="D181" i="23"/>
  <c r="H181" i="23" s="1"/>
  <c r="G179" i="23"/>
  <c r="D179" i="23"/>
  <c r="G178" i="23"/>
  <c r="G176" i="23" s="1"/>
  <c r="D178" i="23"/>
  <c r="F176" i="23"/>
  <c r="E176" i="23"/>
  <c r="D170" i="23"/>
  <c r="G169" i="23"/>
  <c r="D169" i="23"/>
  <c r="G166" i="23"/>
  <c r="F166" i="23"/>
  <c r="F149" i="23" s="1"/>
  <c r="E166" i="23"/>
  <c r="E149" i="23" s="1"/>
  <c r="F165" i="23"/>
  <c r="F148" i="23" s="1"/>
  <c r="E165" i="23"/>
  <c r="E148" i="23" s="1"/>
  <c r="G163" i="23"/>
  <c r="H163" i="23" s="1"/>
  <c r="G162" i="23"/>
  <c r="H162" i="23" s="1"/>
  <c r="G159" i="23"/>
  <c r="H159" i="23" s="1"/>
  <c r="G156" i="23"/>
  <c r="H156" i="23" s="1"/>
  <c r="F153" i="23"/>
  <c r="H153" i="23" s="1"/>
  <c r="G152" i="23"/>
  <c r="H152" i="23" s="1"/>
  <c r="G151" i="23"/>
  <c r="H151" i="23" s="1"/>
  <c r="G145" i="23"/>
  <c r="F145" i="23"/>
  <c r="E145" i="23"/>
  <c r="D145" i="23"/>
  <c r="D136" i="23"/>
  <c r="H136" i="23" s="1"/>
  <c r="D135" i="23"/>
  <c r="G131" i="23"/>
  <c r="G129" i="23"/>
  <c r="F129" i="23"/>
  <c r="F133" i="23" s="1"/>
  <c r="F122" i="23"/>
  <c r="H122" i="23" s="1"/>
  <c r="G117" i="23"/>
  <c r="G115" i="23"/>
  <c r="F115" i="23"/>
  <c r="F119" i="23" s="1"/>
  <c r="F1546" i="23" s="1"/>
  <c r="D115" i="23"/>
  <c r="D90" i="23"/>
  <c r="H90" i="23" s="1"/>
  <c r="D88" i="23"/>
  <c r="H88" i="23" s="1"/>
  <c r="D85" i="23"/>
  <c r="H85" i="23" s="1"/>
  <c r="D67" i="23"/>
  <c r="H67" i="23" s="1"/>
  <c r="F53" i="23"/>
  <c r="D53" i="23"/>
  <c r="F52" i="23"/>
  <c r="D52" i="23"/>
  <c r="F46" i="23"/>
  <c r="H46" i="23" s="1"/>
  <c r="F36" i="23"/>
  <c r="D36" i="23"/>
  <c r="G1582" i="23"/>
  <c r="F32" i="23"/>
  <c r="F1582" i="23" s="1"/>
  <c r="G29" i="23"/>
  <c r="D18" i="23"/>
  <c r="H18" i="23" s="1"/>
  <c r="D17" i="23"/>
  <c r="H17" i="23" s="1"/>
  <c r="D15" i="23"/>
  <c r="H15" i="23" s="1"/>
  <c r="D14" i="23"/>
  <c r="H14" i="23" s="1"/>
  <c r="G8" i="23"/>
  <c r="G12" i="23" s="1"/>
  <c r="G1544" i="23" s="1"/>
  <c r="F8" i="23"/>
  <c r="F12" i="23" s="1"/>
  <c r="H53" i="23" l="1"/>
  <c r="H783" i="23"/>
  <c r="H885" i="23"/>
  <c r="H1113" i="23"/>
  <c r="H1170" i="23"/>
  <c r="H1223" i="23"/>
  <c r="H36" i="23"/>
  <c r="H179" i="23"/>
  <c r="H248" i="23"/>
  <c r="H1402" i="23"/>
  <c r="H1441" i="23"/>
  <c r="H396" i="23"/>
  <c r="H52" i="23"/>
  <c r="H115" i="23"/>
  <c r="H659" i="23"/>
  <c r="H1272" i="23"/>
  <c r="H1260" i="23"/>
  <c r="H448" i="23"/>
  <c r="H501" i="23"/>
  <c r="H1119" i="23"/>
  <c r="H1050" i="23"/>
  <c r="H145" i="23"/>
  <c r="D165" i="23"/>
  <c r="H169" i="23"/>
  <c r="H178" i="23"/>
  <c r="H249" i="23"/>
  <c r="H462" i="23"/>
  <c r="H463" i="23"/>
  <c r="H563" i="23"/>
  <c r="H658" i="23"/>
  <c r="H676" i="23"/>
  <c r="H699" i="23"/>
  <c r="D754" i="23"/>
  <c r="H755" i="23"/>
  <c r="H813" i="23"/>
  <c r="H901" i="23"/>
  <c r="H909" i="23"/>
  <c r="D912" i="23"/>
  <c r="H912" i="23" s="1"/>
  <c r="H913" i="23"/>
  <c r="H988" i="23"/>
  <c r="H1039" i="23"/>
  <c r="D1148" i="23"/>
  <c r="D1154" i="23"/>
  <c r="H1154" i="23" s="1"/>
  <c r="H1155" i="23"/>
  <c r="D1277" i="23"/>
  <c r="H1277" i="23" s="1"/>
  <c r="H1279" i="23"/>
  <c r="D1298" i="23"/>
  <c r="H1300" i="23"/>
  <c r="H1376" i="23"/>
  <c r="D129" i="23"/>
  <c r="H129" i="23" s="1"/>
  <c r="H135" i="23"/>
  <c r="D166" i="23"/>
  <c r="H170" i="23"/>
  <c r="D326" i="23"/>
  <c r="H334" i="23"/>
  <c r="H373" i="23"/>
  <c r="H416" i="23"/>
  <c r="H417" i="23"/>
  <c r="H698" i="23"/>
  <c r="H717" i="23"/>
  <c r="D778" i="23"/>
  <c r="D773" i="23" s="1"/>
  <c r="H780" i="23"/>
  <c r="H1011" i="23"/>
  <c r="H1086" i="23"/>
  <c r="H1144" i="23"/>
  <c r="D1220" i="23"/>
  <c r="H1220" i="23" s="1"/>
  <c r="H1222" i="23"/>
  <c r="H1229" i="23"/>
  <c r="D1232" i="23"/>
  <c r="H1234" i="23"/>
  <c r="H1347" i="23"/>
  <c r="G1381" i="23"/>
  <c r="G1380" i="23" s="1"/>
  <c r="G1370" i="23" s="1"/>
  <c r="G1374" i="23" s="1"/>
  <c r="G1372" i="23" s="1"/>
  <c r="H1384" i="23"/>
  <c r="H548" i="23"/>
  <c r="H616" i="23"/>
  <c r="H706" i="23"/>
  <c r="H812" i="23"/>
  <c r="H892" i="23"/>
  <c r="D974" i="23"/>
  <c r="D1558" i="23" s="1"/>
  <c r="H971" i="23"/>
  <c r="D998" i="23"/>
  <c r="H998" i="23" s="1"/>
  <c r="H999" i="23"/>
  <c r="H1008" i="23"/>
  <c r="H1059" i="23"/>
  <c r="H1065" i="23"/>
  <c r="D1173" i="23"/>
  <c r="H1173" i="23" s="1"/>
  <c r="H1174" i="23"/>
  <c r="H1265" i="23"/>
  <c r="D1387" i="23"/>
  <c r="H1387" i="23" s="1"/>
  <c r="H1388" i="23"/>
  <c r="D704" i="23"/>
  <c r="H705" i="23"/>
  <c r="D992" i="23"/>
  <c r="D1043" i="23"/>
  <c r="D1103" i="23"/>
  <c r="H1103" i="23" s="1"/>
  <c r="H1104" i="23"/>
  <c r="D1160" i="23"/>
  <c r="H1160" i="23" s="1"/>
  <c r="H1161" i="23"/>
  <c r="D1212" i="23"/>
  <c r="D1380" i="23"/>
  <c r="H1380" i="23" s="1"/>
  <c r="G657" i="23"/>
  <c r="G651" i="23" s="1"/>
  <c r="G655" i="23" s="1"/>
  <c r="G1553" i="23" s="1"/>
  <c r="E1270" i="23"/>
  <c r="E1254" i="23" s="1"/>
  <c r="E1258" i="23" s="1"/>
  <c r="E1256" i="23" s="1"/>
  <c r="D1295" i="23"/>
  <c r="H1295" i="23" s="1"/>
  <c r="F216" i="23"/>
  <c r="G326" i="23"/>
  <c r="G325" i="23" s="1"/>
  <c r="D546" i="23"/>
  <c r="D1327" i="23"/>
  <c r="H1327" i="23" s="1"/>
  <c r="E216" i="23"/>
  <c r="E221" i="23" s="1"/>
  <c r="E1549" i="23" s="1"/>
  <c r="G327" i="23"/>
  <c r="D575" i="23"/>
  <c r="H575" i="23" s="1"/>
  <c r="D357" i="23"/>
  <c r="H357" i="23" s="1"/>
  <c r="G1213" i="23"/>
  <c r="G1212" i="23" s="1"/>
  <c r="G34" i="23"/>
  <c r="G1545" i="23" s="1"/>
  <c r="D1397" i="23"/>
  <c r="H1397" i="23" s="1"/>
  <c r="G1063" i="23"/>
  <c r="F29" i="23"/>
  <c r="F34" i="23" s="1"/>
  <c r="F1545" i="23" s="1"/>
  <c r="F117" i="23"/>
  <c r="G415" i="23"/>
  <c r="G1270" i="23"/>
  <c r="D1338" i="23"/>
  <c r="D620" i="23"/>
  <c r="H620" i="23" s="1"/>
  <c r="D811" i="23"/>
  <c r="H811" i="23" s="1"/>
  <c r="G837" i="23"/>
  <c r="G832" i="23" s="1"/>
  <c r="G804" i="23" s="1"/>
  <c r="G809" i="23" s="1"/>
  <c r="D954" i="23"/>
  <c r="H954" i="23" s="1"/>
  <c r="G1208" i="23"/>
  <c r="H1208" i="23" s="1"/>
  <c r="D176" i="23"/>
  <c r="H176" i="23" s="1"/>
  <c r="G388" i="23"/>
  <c r="G365" i="23" s="1"/>
  <c r="E415" i="23"/>
  <c r="E408" i="23" s="1"/>
  <c r="E413" i="23" s="1"/>
  <c r="E410" i="23" s="1"/>
  <c r="D632" i="23"/>
  <c r="G220" i="23"/>
  <c r="H220" i="23" s="1"/>
  <c r="G223" i="23"/>
  <c r="H223" i="23" s="1"/>
  <c r="F1097" i="23"/>
  <c r="F1101" i="23" s="1"/>
  <c r="F1561" i="23" s="1"/>
  <c r="D1437" i="23"/>
  <c r="D893" i="23"/>
  <c r="H893" i="23" s="1"/>
  <c r="G1044" i="23"/>
  <c r="G1043" i="23" s="1"/>
  <c r="D1181" i="23"/>
  <c r="H1181" i="23" s="1"/>
  <c r="D1400" i="23"/>
  <c r="H1400" i="23" s="1"/>
  <c r="G165" i="23"/>
  <c r="G148" i="23" s="1"/>
  <c r="G141" i="23" s="1"/>
  <c r="D8" i="23"/>
  <c r="G10" i="23"/>
  <c r="D29" i="23"/>
  <c r="H29" i="23" s="1"/>
  <c r="D246" i="23"/>
  <c r="D327" i="23"/>
  <c r="D351" i="23"/>
  <c r="H351" i="23" s="1"/>
  <c r="D350" i="23"/>
  <c r="G149" i="23"/>
  <c r="F365" i="23"/>
  <c r="F415" i="23"/>
  <c r="G546" i="23"/>
  <c r="G534" i="23" s="1"/>
  <c r="G532" i="23" s="1"/>
  <c r="F557" i="23"/>
  <c r="H557" i="23" s="1"/>
  <c r="D615" i="23"/>
  <c r="H615" i="23" s="1"/>
  <c r="D712" i="23"/>
  <c r="H712" i="23" s="1"/>
  <c r="G609" i="23"/>
  <c r="G613" i="23" s="1"/>
  <c r="G1552" i="23" s="1"/>
  <c r="D825" i="23"/>
  <c r="H825" i="23" s="1"/>
  <c r="F325" i="23"/>
  <c r="E1560" i="23"/>
  <c r="E1035" i="23"/>
  <c r="D675" i="23"/>
  <c r="G993" i="23"/>
  <c r="G992" i="23" s="1"/>
  <c r="G982" i="23" s="1"/>
  <c r="G986" i="23" s="1"/>
  <c r="G773" i="23"/>
  <c r="G747" i="23" s="1"/>
  <c r="G752" i="23" s="1"/>
  <c r="G1554" i="23" s="1"/>
  <c r="G884" i="23"/>
  <c r="G877" i="23" s="1"/>
  <c r="G882" i="23" s="1"/>
  <c r="G879" i="23" s="1"/>
  <c r="D900" i="23"/>
  <c r="H900" i="23" s="1"/>
  <c r="G1232" i="23"/>
  <c r="D1282" i="23"/>
  <c r="H1282" i="23" s="1"/>
  <c r="D1063" i="23"/>
  <c r="F1138" i="23"/>
  <c r="F1142" i="23" s="1"/>
  <c r="F1270" i="23"/>
  <c r="F1254" i="23" s="1"/>
  <c r="F1258" i="23" s="1"/>
  <c r="F1321" i="23"/>
  <c r="F1325" i="23" s="1"/>
  <c r="F1323" i="23" s="1"/>
  <c r="F1370" i="23"/>
  <c r="F1374" i="23" s="1"/>
  <c r="F1566" i="23" s="1"/>
  <c r="D1350" i="23"/>
  <c r="H1350" i="23" s="1"/>
  <c r="F1544" i="23"/>
  <c r="F10" i="23"/>
  <c r="F1547" i="23"/>
  <c r="F131" i="23"/>
  <c r="F141" i="23"/>
  <c r="G246" i="23"/>
  <c r="D388" i="23"/>
  <c r="D447" i="23"/>
  <c r="H447" i="23" s="1"/>
  <c r="D500" i="23"/>
  <c r="H500" i="23" s="1"/>
  <c r="F1552" i="23"/>
  <c r="F611" i="23"/>
  <c r="G224" i="23"/>
  <c r="H224" i="23" s="1"/>
  <c r="F754" i="23"/>
  <c r="F657" i="23"/>
  <c r="F704" i="23"/>
  <c r="D837" i="23"/>
  <c r="G1557" i="23"/>
  <c r="G956" i="23"/>
  <c r="G973" i="23"/>
  <c r="E1559" i="23"/>
  <c r="E984" i="23"/>
  <c r="F778" i="23"/>
  <c r="F773" i="23" s="1"/>
  <c r="D916" i="23"/>
  <c r="H916" i="23" s="1"/>
  <c r="E1561" i="23"/>
  <c r="E1099" i="23"/>
  <c r="F884" i="23"/>
  <c r="F877" i="23" s="1"/>
  <c r="F882" i="23" s="1"/>
  <c r="D1049" i="23"/>
  <c r="H1049" i="23" s="1"/>
  <c r="G1097" i="23"/>
  <c r="G1101" i="23" s="1"/>
  <c r="D1116" i="23"/>
  <c r="H1116" i="23" s="1"/>
  <c r="D1218" i="23"/>
  <c r="H1218" i="23" s="1"/>
  <c r="F1033" i="23"/>
  <c r="F1037" i="23" s="1"/>
  <c r="E1562" i="23"/>
  <c r="E1140" i="23"/>
  <c r="E1563" i="23"/>
  <c r="E1204" i="23"/>
  <c r="F992" i="23"/>
  <c r="G1149" i="23"/>
  <c r="H1149" i="23" s="1"/>
  <c r="F1212" i="23"/>
  <c r="F1202" i="23" s="1"/>
  <c r="F1206" i="23" s="1"/>
  <c r="D1264" i="23"/>
  <c r="H1264" i="23" s="1"/>
  <c r="G1298" i="23"/>
  <c r="G1321" i="23"/>
  <c r="G1325" i="23" s="1"/>
  <c r="E1323" i="23"/>
  <c r="D1332" i="23"/>
  <c r="H1332" i="23" s="1"/>
  <c r="E1372" i="23"/>
  <c r="H1574" i="23"/>
  <c r="H1532" i="23"/>
  <c r="H1495" i="23"/>
  <c r="D1573" i="23"/>
  <c r="D1538" i="23"/>
  <c r="D1493" i="23"/>
  <c r="F1568" i="23"/>
  <c r="F1531" i="23"/>
  <c r="F1488" i="23"/>
  <c r="H1569" i="23"/>
  <c r="H1534" i="23"/>
  <c r="H1489" i="23"/>
  <c r="H1572" i="23"/>
  <c r="H1537" i="23"/>
  <c r="H1492" i="23"/>
  <c r="F1573" i="23"/>
  <c r="F1538" i="23"/>
  <c r="F1493" i="23"/>
  <c r="F1437" i="23"/>
  <c r="F1435" i="23" s="1"/>
  <c r="H1571" i="23"/>
  <c r="H1536" i="23"/>
  <c r="H1491" i="23"/>
  <c r="D1570" i="23"/>
  <c r="D1535" i="23"/>
  <c r="H1575" i="23"/>
  <c r="H1533" i="23"/>
  <c r="H1494" i="23"/>
  <c r="H1539" i="23"/>
  <c r="H1501" i="23"/>
  <c r="H1576" i="23"/>
  <c r="H1540" i="23"/>
  <c r="H1496" i="23"/>
  <c r="H1457" i="23"/>
  <c r="D1490" i="23"/>
  <c r="E1603" i="23"/>
  <c r="H327" i="23" l="1"/>
  <c r="H1063" i="23"/>
  <c r="H837" i="23"/>
  <c r="D1435" i="23"/>
  <c r="H1435" i="23" s="1"/>
  <c r="H1437" i="23"/>
  <c r="H388" i="23"/>
  <c r="D982" i="23"/>
  <c r="D1337" i="23"/>
  <c r="H1337" i="23" s="1"/>
  <c r="H1338" i="23"/>
  <c r="H1381" i="23"/>
  <c r="H1044" i="23"/>
  <c r="H1232" i="23"/>
  <c r="H778" i="23"/>
  <c r="H326" i="23"/>
  <c r="H1298" i="23"/>
  <c r="H754" i="23"/>
  <c r="H1043" i="23"/>
  <c r="H704" i="23"/>
  <c r="D973" i="23"/>
  <c r="H973" i="23" s="1"/>
  <c r="H974" i="23"/>
  <c r="H1558" i="23" s="1"/>
  <c r="D747" i="23"/>
  <c r="H773" i="23"/>
  <c r="D657" i="23"/>
  <c r="H657" i="23" s="1"/>
  <c r="H675" i="23"/>
  <c r="D216" i="23"/>
  <c r="H246" i="23"/>
  <c r="D534" i="23"/>
  <c r="D532" i="23" s="1"/>
  <c r="H1213" i="23"/>
  <c r="H993" i="23"/>
  <c r="D148" i="23"/>
  <c r="H148" i="23" s="1"/>
  <c r="H165" i="23"/>
  <c r="D325" i="23"/>
  <c r="H325" i="23" s="1"/>
  <c r="H350" i="23"/>
  <c r="D625" i="23"/>
  <c r="H625" i="23" s="1"/>
  <c r="H632" i="23"/>
  <c r="H1212" i="23"/>
  <c r="H992" i="23"/>
  <c r="D149" i="23"/>
  <c r="H149" i="23" s="1"/>
  <c r="H166" i="23"/>
  <c r="E1564" i="23"/>
  <c r="G1254" i="23"/>
  <c r="G1258" i="23" s="1"/>
  <c r="G1564" i="23" s="1"/>
  <c r="H1490" i="23"/>
  <c r="F319" i="23"/>
  <c r="F323" i="23" s="1"/>
  <c r="F1550" i="23" s="1"/>
  <c r="G319" i="23"/>
  <c r="G323" i="23" s="1"/>
  <c r="G1550" i="23" s="1"/>
  <c r="G1202" i="23"/>
  <c r="G1206" i="23" s="1"/>
  <c r="G1563" i="23" s="1"/>
  <c r="D1370" i="23"/>
  <c r="H1370" i="23" s="1"/>
  <c r="G749" i="23"/>
  <c r="H1535" i="23"/>
  <c r="F1099" i="23"/>
  <c r="G31" i="23"/>
  <c r="G653" i="23"/>
  <c r="G408" i="23"/>
  <c r="G413" i="23" s="1"/>
  <c r="G1551" i="23" s="1"/>
  <c r="G611" i="23"/>
  <c r="G1033" i="23"/>
  <c r="G1037" i="23" s="1"/>
  <c r="G1560" i="23" s="1"/>
  <c r="F1565" i="23"/>
  <c r="G1566" i="23"/>
  <c r="D1138" i="23"/>
  <c r="H1570" i="23"/>
  <c r="E1551" i="23"/>
  <c r="E218" i="23"/>
  <c r="F31" i="23"/>
  <c r="F1372" i="23"/>
  <c r="D1270" i="23"/>
  <c r="H1270" i="23" s="1"/>
  <c r="F546" i="23"/>
  <c r="F534" i="23" s="1"/>
  <c r="F532" i="23" s="1"/>
  <c r="F408" i="23" s="1"/>
  <c r="D832" i="23"/>
  <c r="H832" i="23" s="1"/>
  <c r="H8" i="23"/>
  <c r="G1556" i="23"/>
  <c r="F1256" i="23"/>
  <c r="F1564" i="23"/>
  <c r="D609" i="23"/>
  <c r="H609" i="23" s="1"/>
  <c r="D1202" i="23"/>
  <c r="D884" i="23"/>
  <c r="H884" i="23" s="1"/>
  <c r="H1573" i="23"/>
  <c r="H1538" i="23"/>
  <c r="H1493" i="23"/>
  <c r="D1331" i="23"/>
  <c r="H1331" i="23" s="1"/>
  <c r="G1565" i="23"/>
  <c r="G1323" i="23"/>
  <c r="F1563" i="23"/>
  <c r="F1204" i="23"/>
  <c r="G1148" i="23"/>
  <c r="H1148" i="23" s="1"/>
  <c r="D1097" i="23"/>
  <c r="H1097" i="23" s="1"/>
  <c r="F1556" i="23"/>
  <c r="F879" i="23"/>
  <c r="G1559" i="23"/>
  <c r="G984" i="23"/>
  <c r="F747" i="23"/>
  <c r="F752" i="23" s="1"/>
  <c r="D415" i="23"/>
  <c r="H415" i="23" s="1"/>
  <c r="G216" i="23"/>
  <c r="F1562" i="23"/>
  <c r="F1140" i="23"/>
  <c r="G1555" i="23"/>
  <c r="G806" i="23"/>
  <c r="D365" i="23"/>
  <c r="H365" i="23" s="1"/>
  <c r="H1568" i="23"/>
  <c r="H1531" i="23"/>
  <c r="H1488" i="23"/>
  <c r="F1560" i="23"/>
  <c r="F1035" i="23"/>
  <c r="G1561" i="23"/>
  <c r="G1099" i="23"/>
  <c r="D1033" i="23"/>
  <c r="H1033" i="23" s="1"/>
  <c r="F982" i="23"/>
  <c r="F651" i="23"/>
  <c r="H532" i="23" l="1"/>
  <c r="H1202" i="23"/>
  <c r="H546" i="23"/>
  <c r="D651" i="23"/>
  <c r="H651" i="23" s="1"/>
  <c r="D141" i="23"/>
  <c r="H141" i="23" s="1"/>
  <c r="H534" i="23"/>
  <c r="H982" i="23"/>
  <c r="H216" i="23"/>
  <c r="H747" i="23"/>
  <c r="E1567" i="23"/>
  <c r="E1577" i="23" s="1"/>
  <c r="G1256" i="23"/>
  <c r="F321" i="23"/>
  <c r="G321" i="23"/>
  <c r="G410" i="23"/>
  <c r="G1204" i="23"/>
  <c r="G1035" i="23"/>
  <c r="D804" i="23"/>
  <c r="H804" i="23" s="1"/>
  <c r="D1254" i="23"/>
  <c r="H1254" i="23" s="1"/>
  <c r="D877" i="23"/>
  <c r="H877" i="23" s="1"/>
  <c r="D408" i="23"/>
  <c r="H408" i="23" s="1"/>
  <c r="F986" i="23"/>
  <c r="D1321" i="23"/>
  <c r="H1321" i="23" s="1"/>
  <c r="D319" i="23"/>
  <c r="H319" i="23" s="1"/>
  <c r="F1554" i="23"/>
  <c r="F749" i="23"/>
  <c r="G1138" i="23"/>
  <c r="H1138" i="23" s="1"/>
  <c r="G1142" i="23" l="1"/>
  <c r="F1559" i="23"/>
  <c r="F984" i="23"/>
  <c r="G1562" i="23" l="1"/>
  <c r="G1140" i="23"/>
  <c r="B6" i="4" l="1"/>
  <c r="B5" i="4" s="1"/>
  <c r="B11" i="4"/>
  <c r="B14" i="4"/>
  <c r="B19" i="4"/>
  <c r="B21" i="4"/>
  <c r="B27" i="4"/>
  <c r="B26" i="4" s="1"/>
  <c r="B28" i="4"/>
  <c r="B35" i="4"/>
  <c r="B37" i="4"/>
  <c r="B41" i="4"/>
  <c r="B44" i="4"/>
  <c r="B39" i="4"/>
  <c r="E39" i="4" s="1"/>
  <c r="B49" i="4"/>
  <c r="B51" i="4"/>
  <c r="B53" i="4"/>
  <c r="B54" i="4"/>
  <c r="E54" i="4" s="1"/>
  <c r="B57" i="4"/>
  <c r="B55" i="4" s="1"/>
  <c r="B66" i="4"/>
  <c r="B68" i="4"/>
  <c r="B62" i="4"/>
  <c r="B74" i="4"/>
  <c r="B73" i="4" s="1"/>
  <c r="B80" i="4"/>
  <c r="B84" i="4"/>
  <c r="B97" i="4"/>
  <c r="E97" i="4" s="1"/>
  <c r="B107" i="4"/>
  <c r="B94" i="4"/>
  <c r="B100" i="4"/>
  <c r="B112" i="4"/>
  <c r="B116" i="4"/>
  <c r="B88" i="4"/>
  <c r="B90" i="4"/>
  <c r="C35" i="4"/>
  <c r="C37" i="4"/>
  <c r="C41" i="4"/>
  <c r="C44" i="4"/>
  <c r="C39" i="4"/>
  <c r="C48" i="4"/>
  <c r="C55" i="4"/>
  <c r="C62" i="4"/>
  <c r="C73" i="4"/>
  <c r="E73" i="4" s="1"/>
  <c r="C80" i="4"/>
  <c r="C84" i="4"/>
  <c r="C97" i="4"/>
  <c r="C107" i="4"/>
  <c r="E107" i="4" s="1"/>
  <c r="C94" i="4"/>
  <c r="C100" i="4"/>
  <c r="C112" i="4"/>
  <c r="C116" i="4"/>
  <c r="C88" i="4"/>
  <c r="C90" i="4"/>
  <c r="D35" i="4"/>
  <c r="D37" i="4"/>
  <c r="D42" i="4"/>
  <c r="D41" i="4" s="1"/>
  <c r="D44" i="4"/>
  <c r="D39" i="4"/>
  <c r="D54" i="4"/>
  <c r="D48" i="4" s="1"/>
  <c r="D55" i="4"/>
  <c r="D58" i="4"/>
  <c r="D62" i="4"/>
  <c r="D73" i="4"/>
  <c r="D80" i="4"/>
  <c r="D84" i="4"/>
  <c r="D97" i="4"/>
  <c r="D107" i="4"/>
  <c r="D94" i="4"/>
  <c r="D100" i="4"/>
  <c r="D113" i="4"/>
  <c r="D115" i="4"/>
  <c r="E115" i="4" s="1"/>
  <c r="D117" i="4"/>
  <c r="D118" i="4"/>
  <c r="D88" i="4"/>
  <c r="D90" i="4"/>
  <c r="B125" i="4"/>
  <c r="B128" i="4"/>
  <c r="B122" i="4" s="1"/>
  <c r="B133" i="4"/>
  <c r="B137" i="4"/>
  <c r="E137" i="4" s="1"/>
  <c r="B141" i="4"/>
  <c r="B140" i="4"/>
  <c r="B147" i="4"/>
  <c r="B153" i="4"/>
  <c r="E153" i="4" s="1"/>
  <c r="B157" i="4"/>
  <c r="B156" i="4"/>
  <c r="B160" i="4"/>
  <c r="B165" i="4"/>
  <c r="B167" i="4"/>
  <c r="B172" i="4"/>
  <c r="B170" i="4" s="1"/>
  <c r="B176" i="4"/>
  <c r="B180" i="4"/>
  <c r="E180" i="4" s="1"/>
  <c r="B184" i="4"/>
  <c r="B189" i="4"/>
  <c r="B188" i="4" s="1"/>
  <c r="B193" i="4"/>
  <c r="B195" i="4"/>
  <c r="E195" i="4" s="1"/>
  <c r="B198" i="4"/>
  <c r="B197" i="4" s="1"/>
  <c r="B201" i="4"/>
  <c r="B200" i="4" s="1"/>
  <c r="B205" i="4"/>
  <c r="B209" i="4"/>
  <c r="B208" i="4" s="1"/>
  <c r="B214" i="4"/>
  <c r="C125" i="4"/>
  <c r="C128" i="4"/>
  <c r="E128" i="4" s="1"/>
  <c r="C123" i="4"/>
  <c r="C133" i="4"/>
  <c r="C132" i="4" s="1"/>
  <c r="C137" i="4"/>
  <c r="C141" i="4"/>
  <c r="C140" i="4" s="1"/>
  <c r="E140" i="4" s="1"/>
  <c r="C147" i="4"/>
  <c r="C153" i="4"/>
  <c r="C156" i="4"/>
  <c r="C160" i="4"/>
  <c r="C165" i="4"/>
  <c r="C167" i="4"/>
  <c r="C170" i="4"/>
  <c r="C176" i="4"/>
  <c r="E176" i="4" s="1"/>
  <c r="C180" i="4"/>
  <c r="C184" i="4"/>
  <c r="C188" i="4"/>
  <c r="C193" i="4"/>
  <c r="E193" i="4" s="1"/>
  <c r="C195" i="4"/>
  <c r="C211" i="4"/>
  <c r="C209" i="4" s="1"/>
  <c r="C214" i="4"/>
  <c r="D123" i="4"/>
  <c r="E123" i="4" s="1"/>
  <c r="D128" i="4"/>
  <c r="D133" i="4"/>
  <c r="D137" i="4"/>
  <c r="D161" i="4"/>
  <c r="D162" i="4"/>
  <c r="D164" i="4"/>
  <c r="D165" i="4"/>
  <c r="D169" i="4"/>
  <c r="D167" i="4" s="1"/>
  <c r="D170" i="4"/>
  <c r="D176" i="4"/>
  <c r="D180" i="4"/>
  <c r="D184" i="4"/>
  <c r="E184" i="4" s="1"/>
  <c r="D189" i="4"/>
  <c r="D190" i="4"/>
  <c r="D193" i="4"/>
  <c r="D195" i="4"/>
  <c r="D198" i="4"/>
  <c r="D197" i="4" s="1"/>
  <c r="E197" i="4" s="1"/>
  <c r="D201" i="4"/>
  <c r="D205" i="4"/>
  <c r="B221" i="4"/>
  <c r="E221" i="4" s="1"/>
  <c r="B225" i="4"/>
  <c r="B229" i="4"/>
  <c r="B234" i="4"/>
  <c r="B233" i="4" s="1"/>
  <c r="B236" i="4"/>
  <c r="B241" i="4"/>
  <c r="B245" i="4"/>
  <c r="B249" i="4"/>
  <c r="B253" i="4"/>
  <c r="B257" i="4"/>
  <c r="B260" i="4"/>
  <c r="B264" i="4"/>
  <c r="B268" i="4"/>
  <c r="B271" i="4"/>
  <c r="B275" i="4"/>
  <c r="B279" i="4"/>
  <c r="B282" i="4"/>
  <c r="B288" i="4"/>
  <c r="B289" i="4"/>
  <c r="B296" i="4"/>
  <c r="B294" i="4" s="1"/>
  <c r="B298" i="4"/>
  <c r="B301" i="4"/>
  <c r="B308" i="4"/>
  <c r="B307" i="4" s="1"/>
  <c r="B314" i="4"/>
  <c r="B318" i="4"/>
  <c r="B323" i="4"/>
  <c r="B326" i="4"/>
  <c r="B331" i="4"/>
  <c r="B330" i="4" s="1"/>
  <c r="B338" i="4"/>
  <c r="E338" i="4" s="1"/>
  <c r="B342" i="4"/>
  <c r="B343" i="4"/>
  <c r="B350" i="4"/>
  <c r="B355" i="4"/>
  <c r="B354" i="4" s="1"/>
  <c r="B356" i="4"/>
  <c r="B366" i="4"/>
  <c r="B365" i="4" s="1"/>
  <c r="B372" i="4"/>
  <c r="B374" i="4"/>
  <c r="C308" i="4"/>
  <c r="C307" i="4" s="1"/>
  <c r="C314" i="4"/>
  <c r="C313" i="4" s="1"/>
  <c r="C318" i="4"/>
  <c r="C323" i="4"/>
  <c r="C322" i="4" s="1"/>
  <c r="C326" i="4"/>
  <c r="C331" i="4"/>
  <c r="C330" i="4" s="1"/>
  <c r="C338" i="4"/>
  <c r="C341" i="4"/>
  <c r="C350" i="4"/>
  <c r="C354" i="4"/>
  <c r="C356" i="4"/>
  <c r="C366" i="4"/>
  <c r="C365" i="4" s="1"/>
  <c r="C372" i="4"/>
  <c r="C374" i="4"/>
  <c r="B379" i="4"/>
  <c r="B384" i="4"/>
  <c r="B388" i="4"/>
  <c r="B387" i="4" s="1"/>
  <c r="B393" i="4"/>
  <c r="B392" i="4" s="1"/>
  <c r="B399" i="4"/>
  <c r="B402" i="4"/>
  <c r="E402" i="4" s="1"/>
  <c r="B404" i="4"/>
  <c r="B406" i="4"/>
  <c r="C393" i="4"/>
  <c r="C392" i="4" s="1"/>
  <c r="C399" i="4"/>
  <c r="E399" i="4" s="1"/>
  <c r="C402" i="4"/>
  <c r="C404" i="4"/>
  <c r="C406" i="4"/>
  <c r="B410" i="4"/>
  <c r="B414" i="4"/>
  <c r="B416" i="4"/>
  <c r="B422" i="4"/>
  <c r="B424" i="4"/>
  <c r="E424" i="4" s="1"/>
  <c r="B428" i="4"/>
  <c r="B430" i="4"/>
  <c r="B434" i="4"/>
  <c r="B436" i="4"/>
  <c r="E436" i="4" s="1"/>
  <c r="B443" i="4"/>
  <c r="B442" i="4" s="1"/>
  <c r="B446" i="4"/>
  <c r="B445" i="4" s="1"/>
  <c r="B449" i="4"/>
  <c r="B453" i="4"/>
  <c r="B451" i="4" s="1"/>
  <c r="B458" i="4"/>
  <c r="B459" i="4"/>
  <c r="B460" i="4"/>
  <c r="B465" i="4"/>
  <c r="B464" i="4" s="1"/>
  <c r="B469" i="4"/>
  <c r="B468" i="4" s="1"/>
  <c r="B477" i="4"/>
  <c r="B481" i="4"/>
  <c r="B484" i="4"/>
  <c r="B487" i="4"/>
  <c r="B492" i="4"/>
  <c r="B495" i="4"/>
  <c r="B499" i="4"/>
  <c r="B498" i="4" s="1"/>
  <c r="B509" i="4"/>
  <c r="B512" i="4"/>
  <c r="B516" i="4"/>
  <c r="B519" i="4"/>
  <c r="B524" i="4"/>
  <c r="B523" i="4" s="1"/>
  <c r="B532" i="4"/>
  <c r="B535" i="4"/>
  <c r="B540" i="4"/>
  <c r="B546" i="4"/>
  <c r="B556" i="4"/>
  <c r="B561" i="4"/>
  <c r="B562" i="4"/>
  <c r="E562" i="4" s="1"/>
  <c r="B563" i="4"/>
  <c r="B565" i="4"/>
  <c r="B570" i="4"/>
  <c r="B569" i="4" s="1"/>
  <c r="B578" i="4"/>
  <c r="B582" i="4"/>
  <c r="B586" i="4"/>
  <c r="B590" i="4"/>
  <c r="B594" i="4"/>
  <c r="B596" i="4"/>
  <c r="B601" i="4"/>
  <c r="B605" i="4"/>
  <c r="B610" i="4"/>
  <c r="B609" i="4" s="1"/>
  <c r="B616" i="4"/>
  <c r="B615" i="4" s="1"/>
  <c r="B622" i="4"/>
  <c r="B625" i="4"/>
  <c r="B632" i="4"/>
  <c r="E632" i="4" s="1"/>
  <c r="B636" i="4"/>
  <c r="B641" i="4"/>
  <c r="B645" i="4"/>
  <c r="B650" i="4"/>
  <c r="B657" i="4"/>
  <c r="B663" i="4"/>
  <c r="B662" i="4" s="1"/>
  <c r="B682" i="4"/>
  <c r="B686" i="4"/>
  <c r="B688" i="4"/>
  <c r="B674" i="4"/>
  <c r="B677" i="4"/>
  <c r="B696" i="4"/>
  <c r="E696" i="4" s="1"/>
  <c r="B701" i="4"/>
  <c r="B706" i="4"/>
  <c r="B710" i="4"/>
  <c r="B718" i="4"/>
  <c r="E718" i="4" s="1"/>
  <c r="B722" i="4"/>
  <c r="B725" i="4"/>
  <c r="B732" i="4"/>
  <c r="B734" i="4"/>
  <c r="B739" i="4"/>
  <c r="B741" i="4"/>
  <c r="B746" i="4"/>
  <c r="B752" i="4"/>
  <c r="E752" i="4" s="1"/>
  <c r="B755" i="4"/>
  <c r="B765" i="4"/>
  <c r="B769" i="4"/>
  <c r="B773" i="4"/>
  <c r="B777" i="4"/>
  <c r="B783" i="4"/>
  <c r="B782" i="4" s="1"/>
  <c r="B789" i="4"/>
  <c r="B788" i="4" s="1"/>
  <c r="B787" i="4" s="1"/>
  <c r="B793" i="4"/>
  <c r="B792" i="4" s="1"/>
  <c r="B800" i="4"/>
  <c r="B805" i="4"/>
  <c r="D221" i="4"/>
  <c r="D39" i="12"/>
  <c r="D7" i="12"/>
  <c r="D5" i="12" s="1"/>
  <c r="E79" i="7"/>
  <c r="E76" i="7"/>
  <c r="E75" i="7"/>
  <c r="E74" i="7"/>
  <c r="E73" i="7"/>
  <c r="E72" i="7"/>
  <c r="E71" i="7"/>
  <c r="E70" i="7"/>
  <c r="E68" i="7"/>
  <c r="E65" i="7"/>
  <c r="E64" i="7"/>
  <c r="E63" i="7"/>
  <c r="E62" i="7"/>
  <c r="E61" i="7"/>
  <c r="E60" i="7"/>
  <c r="E59" i="7"/>
  <c r="E56" i="7"/>
  <c r="E55" i="7"/>
  <c r="E52" i="7"/>
  <c r="E51" i="7"/>
  <c r="E50" i="7"/>
  <c r="E49" i="7"/>
  <c r="E48" i="7"/>
  <c r="E44" i="7"/>
  <c r="E43" i="7"/>
  <c r="E40" i="7"/>
  <c r="E39" i="7"/>
  <c r="E38" i="7"/>
  <c r="E37" i="7"/>
  <c r="E35" i="7"/>
  <c r="E33" i="7"/>
  <c r="E32" i="7"/>
  <c r="E31" i="7"/>
  <c r="E29" i="7"/>
  <c r="E26" i="7"/>
  <c r="E25" i="7"/>
  <c r="E24" i="7"/>
  <c r="E23" i="7"/>
  <c r="E21" i="7"/>
  <c r="E20" i="7"/>
  <c r="E18" i="7"/>
  <c r="E17" i="7"/>
  <c r="E15" i="7"/>
  <c r="E14" i="7"/>
  <c r="E11" i="7"/>
  <c r="E10" i="7"/>
  <c r="E8" i="7"/>
  <c r="C19" i="7"/>
  <c r="D19" i="7"/>
  <c r="C66" i="7"/>
  <c r="D69" i="7"/>
  <c r="D66" i="7" s="1"/>
  <c r="D58" i="7"/>
  <c r="D57" i="7" s="1"/>
  <c r="D47" i="7"/>
  <c r="D46" i="7"/>
  <c r="E46" i="7" s="1"/>
  <c r="D36" i="7"/>
  <c r="D30" i="7"/>
  <c r="C28" i="7"/>
  <c r="C27" i="7" s="1"/>
  <c r="D28" i="7"/>
  <c r="D27" i="7" s="1"/>
  <c r="C22" i="7"/>
  <c r="D22" i="7"/>
  <c r="D13" i="7"/>
  <c r="D6" i="7"/>
  <c r="D5" i="7" s="1"/>
  <c r="E807" i="4"/>
  <c r="E806" i="4"/>
  <c r="E804" i="4"/>
  <c r="E803" i="4"/>
  <c r="E802" i="4"/>
  <c r="E801" i="4"/>
  <c r="E798" i="4"/>
  <c r="E797" i="4"/>
  <c r="E796" i="4"/>
  <c r="E795" i="4"/>
  <c r="E794" i="4"/>
  <c r="E791" i="4"/>
  <c r="E790" i="4"/>
  <c r="E786" i="4"/>
  <c r="E785" i="4"/>
  <c r="E784" i="4"/>
  <c r="E780" i="4"/>
  <c r="E779" i="4"/>
  <c r="E778" i="4"/>
  <c r="E776" i="4"/>
  <c r="E775" i="4"/>
  <c r="E774" i="4"/>
  <c r="E772" i="4"/>
  <c r="E771" i="4"/>
  <c r="E770" i="4"/>
  <c r="E768" i="4"/>
  <c r="E767" i="4"/>
  <c r="E766" i="4"/>
  <c r="E763" i="4"/>
  <c r="E761" i="4"/>
  <c r="E760" i="4"/>
  <c r="E759" i="4"/>
  <c r="E758" i="4"/>
  <c r="E757" i="4"/>
  <c r="E756" i="4"/>
  <c r="E754" i="4"/>
  <c r="E753" i="4"/>
  <c r="E751" i="4"/>
  <c r="E750" i="4"/>
  <c r="E749" i="4"/>
  <c r="E748" i="4"/>
  <c r="E747" i="4"/>
  <c r="E744" i="4"/>
  <c r="E743" i="4"/>
  <c r="E742" i="4"/>
  <c r="E740" i="4"/>
  <c r="E738" i="4"/>
  <c r="E737" i="4"/>
  <c r="E736" i="4"/>
  <c r="E735" i="4"/>
  <c r="E733" i="4"/>
  <c r="E730" i="4"/>
  <c r="E728" i="4"/>
  <c r="E727" i="4"/>
  <c r="E726" i="4"/>
  <c r="E724" i="4"/>
  <c r="E723" i="4"/>
  <c r="E721" i="4"/>
  <c r="E720" i="4"/>
  <c r="E719" i="4"/>
  <c r="E716" i="4"/>
  <c r="E715" i="4"/>
  <c r="E714" i="4"/>
  <c r="E713" i="4"/>
  <c r="E712" i="4"/>
  <c r="E711" i="4"/>
  <c r="E709" i="4"/>
  <c r="E708" i="4"/>
  <c r="E707" i="4"/>
  <c r="E704" i="4"/>
  <c r="E703" i="4"/>
  <c r="E702" i="4"/>
  <c r="E700" i="4"/>
  <c r="E699" i="4"/>
  <c r="E698" i="4"/>
  <c r="E697" i="4"/>
  <c r="E694" i="4"/>
  <c r="E693" i="4"/>
  <c r="E692" i="4"/>
  <c r="E691" i="4"/>
  <c r="E690" i="4"/>
  <c r="E689" i="4"/>
  <c r="E687" i="4"/>
  <c r="E685" i="4"/>
  <c r="E684" i="4"/>
  <c r="E683" i="4"/>
  <c r="E681" i="4"/>
  <c r="E680" i="4"/>
  <c r="E678" i="4"/>
  <c r="E676" i="4"/>
  <c r="E675" i="4"/>
  <c r="E672" i="4"/>
  <c r="E670" i="4"/>
  <c r="E669" i="4"/>
  <c r="E668" i="4"/>
  <c r="E667" i="4"/>
  <c r="E666" i="4"/>
  <c r="E665" i="4"/>
  <c r="E664" i="4"/>
  <c r="E661" i="4"/>
  <c r="E660" i="4"/>
  <c r="E659" i="4"/>
  <c r="E658" i="4"/>
  <c r="E656" i="4"/>
  <c r="E654" i="4"/>
  <c r="E653" i="4"/>
  <c r="E652" i="4"/>
  <c r="E651" i="4"/>
  <c r="E648" i="4"/>
  <c r="E647" i="4"/>
  <c r="E646" i="4"/>
  <c r="E644" i="4"/>
  <c r="E643" i="4"/>
  <c r="E642" i="4"/>
  <c r="E640" i="4"/>
  <c r="E639" i="4"/>
  <c r="E638" i="4"/>
  <c r="E637" i="4"/>
  <c r="E635" i="4"/>
  <c r="E634" i="4"/>
  <c r="E633" i="4"/>
  <c r="E630" i="4"/>
  <c r="E628" i="4"/>
  <c r="E627" i="4"/>
  <c r="E626" i="4"/>
  <c r="E624" i="4"/>
  <c r="E623" i="4"/>
  <c r="E620" i="4"/>
  <c r="E619" i="4"/>
  <c r="E618" i="4"/>
  <c r="E617" i="4"/>
  <c r="E614" i="4"/>
  <c r="E613" i="4"/>
  <c r="E612" i="4"/>
  <c r="E611" i="4"/>
  <c r="E608" i="4"/>
  <c r="E607" i="4"/>
  <c r="E606" i="4"/>
  <c r="E604" i="4"/>
  <c r="E603" i="4"/>
  <c r="E602" i="4"/>
  <c r="E599" i="4"/>
  <c r="E598" i="4"/>
  <c r="E597" i="4"/>
  <c r="E595" i="4"/>
  <c r="E592" i="4"/>
  <c r="E591" i="4"/>
  <c r="E589" i="4"/>
  <c r="E588" i="4"/>
  <c r="E587" i="4"/>
  <c r="E585" i="4"/>
  <c r="E584" i="4"/>
  <c r="E583" i="4"/>
  <c r="E581" i="4"/>
  <c r="E580" i="4"/>
  <c r="E579" i="4"/>
  <c r="E576" i="4"/>
  <c r="E574" i="4"/>
  <c r="E573" i="4"/>
  <c r="E572" i="4"/>
  <c r="E571" i="4"/>
  <c r="E568" i="4"/>
  <c r="E567" i="4"/>
  <c r="E566" i="4"/>
  <c r="E564" i="4"/>
  <c r="E559" i="4"/>
  <c r="E558" i="4"/>
  <c r="E557" i="4"/>
  <c r="E554" i="4"/>
  <c r="E552" i="4"/>
  <c r="E551" i="4"/>
  <c r="E550" i="4"/>
  <c r="E549" i="4"/>
  <c r="E548" i="4"/>
  <c r="E547" i="4"/>
  <c r="E545" i="4"/>
  <c r="E544" i="4"/>
  <c r="E543" i="4"/>
  <c r="E542" i="4"/>
  <c r="E541" i="4"/>
  <c r="E538" i="4"/>
  <c r="E537" i="4"/>
  <c r="E536" i="4"/>
  <c r="E534" i="4"/>
  <c r="E533" i="4"/>
  <c r="E530" i="4"/>
  <c r="E529" i="4"/>
  <c r="E528" i="4"/>
  <c r="E527" i="4"/>
  <c r="E526" i="4"/>
  <c r="E525" i="4"/>
  <c r="E522" i="4"/>
  <c r="E521" i="4"/>
  <c r="E520" i="4"/>
  <c r="E518" i="4"/>
  <c r="E517" i="4"/>
  <c r="E515" i="4"/>
  <c r="E514" i="4"/>
  <c r="E513" i="4"/>
  <c r="E511" i="4"/>
  <c r="E510" i="4"/>
  <c r="E507" i="4"/>
  <c r="E505" i="4"/>
  <c r="E504" i="4"/>
  <c r="E503" i="4"/>
  <c r="E502" i="4"/>
  <c r="E501" i="4"/>
  <c r="E500" i="4"/>
  <c r="E497" i="4"/>
  <c r="E496" i="4"/>
  <c r="E494" i="4"/>
  <c r="E493" i="4"/>
  <c r="E490" i="4"/>
  <c r="E489" i="4"/>
  <c r="E488" i="4"/>
  <c r="E486" i="4"/>
  <c r="E485" i="4"/>
  <c r="E483" i="4"/>
  <c r="E482" i="4"/>
  <c r="E480" i="4"/>
  <c r="E479" i="4"/>
  <c r="E478" i="4"/>
  <c r="E475" i="4"/>
  <c r="E473" i="4"/>
  <c r="E472" i="4"/>
  <c r="E470" i="4"/>
  <c r="E467" i="4"/>
  <c r="E466" i="4"/>
  <c r="E463" i="4"/>
  <c r="E462" i="4"/>
  <c r="E461" i="4"/>
  <c r="E455" i="4"/>
  <c r="E454" i="4"/>
  <c r="E452" i="4"/>
  <c r="E450" i="4"/>
  <c r="E447" i="4"/>
  <c r="E444" i="4"/>
  <c r="E440" i="4"/>
  <c r="E438" i="4"/>
  <c r="E437" i="4"/>
  <c r="E435" i="4"/>
  <c r="E432" i="4"/>
  <c r="E431" i="4"/>
  <c r="E429" i="4"/>
  <c r="E427" i="4"/>
  <c r="E426" i="4"/>
  <c r="E425" i="4"/>
  <c r="E423" i="4"/>
  <c r="E420" i="4"/>
  <c r="E418" i="4"/>
  <c r="E417" i="4"/>
  <c r="E415" i="4"/>
  <c r="E413" i="4"/>
  <c r="E412" i="4"/>
  <c r="E411" i="4"/>
  <c r="E408" i="4"/>
  <c r="E407" i="4"/>
  <c r="E405" i="4"/>
  <c r="E403" i="4"/>
  <c r="E401" i="4"/>
  <c r="E400" i="4"/>
  <c r="E397" i="4"/>
  <c r="E396" i="4"/>
  <c r="E395" i="4"/>
  <c r="E394" i="4"/>
  <c r="E391" i="4"/>
  <c r="E389" i="4"/>
  <c r="E386" i="4"/>
  <c r="E385" i="4"/>
  <c r="E383" i="4"/>
  <c r="E382" i="4"/>
  <c r="E381" i="4"/>
  <c r="E380" i="4"/>
  <c r="E377" i="4"/>
  <c r="E376" i="4"/>
  <c r="E375" i="4"/>
  <c r="E373" i="4"/>
  <c r="E370" i="4"/>
  <c r="E369" i="4"/>
  <c r="E368" i="4"/>
  <c r="E367" i="4"/>
  <c r="E364" i="4"/>
  <c r="E363" i="4"/>
  <c r="E362" i="4"/>
  <c r="E359" i="4"/>
  <c r="E358" i="4"/>
  <c r="E357" i="4"/>
  <c r="E353" i="4"/>
  <c r="E352" i="4"/>
  <c r="E351" i="4"/>
  <c r="E348" i="4"/>
  <c r="E347" i="4"/>
  <c r="E345" i="4"/>
  <c r="E340" i="4"/>
  <c r="E339" i="4"/>
  <c r="E336" i="4"/>
  <c r="E335" i="4"/>
  <c r="E333" i="4"/>
  <c r="E332" i="4"/>
  <c r="E329" i="4"/>
  <c r="E328" i="4"/>
  <c r="E327" i="4"/>
  <c r="E325" i="4"/>
  <c r="E324" i="4"/>
  <c r="E321" i="4"/>
  <c r="E320" i="4"/>
  <c r="E319" i="4"/>
  <c r="E317" i="4"/>
  <c r="E316" i="4"/>
  <c r="E315" i="4"/>
  <c r="E312" i="4"/>
  <c r="E311" i="4"/>
  <c r="E310" i="4"/>
  <c r="E309" i="4"/>
  <c r="E306" i="4"/>
  <c r="E304" i="4"/>
  <c r="E303" i="4"/>
  <c r="E302" i="4"/>
  <c r="E300" i="4"/>
  <c r="E299" i="4"/>
  <c r="E297" i="4"/>
  <c r="E295" i="4"/>
  <c r="E292" i="4"/>
  <c r="E291" i="4"/>
  <c r="E285" i="4"/>
  <c r="E284" i="4"/>
  <c r="E283" i="4"/>
  <c r="E281" i="4"/>
  <c r="E280" i="4"/>
  <c r="E278" i="4"/>
  <c r="E277" i="4"/>
  <c r="E276" i="4"/>
  <c r="E273" i="4"/>
  <c r="E272" i="4"/>
  <c r="E270" i="4"/>
  <c r="E269" i="4"/>
  <c r="E267" i="4"/>
  <c r="E266" i="4"/>
  <c r="E265" i="4"/>
  <c r="E262" i="4"/>
  <c r="E261" i="4"/>
  <c r="E259" i="4"/>
  <c r="E258" i="4"/>
  <c r="E256" i="4"/>
  <c r="E255" i="4"/>
  <c r="E251" i="4"/>
  <c r="E250" i="4"/>
  <c r="E248" i="4"/>
  <c r="E247" i="4"/>
  <c r="E244" i="4"/>
  <c r="E243" i="4"/>
  <c r="E242" i="4"/>
  <c r="E239" i="4"/>
  <c r="E238" i="4"/>
  <c r="E237" i="4"/>
  <c r="E235" i="4"/>
  <c r="E232" i="4"/>
  <c r="E231" i="4"/>
  <c r="E230" i="4"/>
  <c r="E227" i="4"/>
  <c r="E226" i="4"/>
  <c r="E224" i="4"/>
  <c r="E223" i="4"/>
  <c r="E222" i="4"/>
  <c r="E219" i="4"/>
  <c r="E217" i="4"/>
  <c r="E216" i="4"/>
  <c r="E215" i="4"/>
  <c r="E213" i="4"/>
  <c r="E212" i="4"/>
  <c r="E210" i="4"/>
  <c r="E207" i="4"/>
  <c r="E206" i="4"/>
  <c r="E204" i="4"/>
  <c r="E196" i="4"/>
  <c r="E194" i="4"/>
  <c r="E192" i="4"/>
  <c r="E191" i="4"/>
  <c r="E186" i="4"/>
  <c r="E185" i="4"/>
  <c r="E183" i="4"/>
  <c r="E182" i="4"/>
  <c r="E181" i="4"/>
  <c r="E179" i="4"/>
  <c r="E178" i="4"/>
  <c r="E177" i="4"/>
  <c r="E174" i="4"/>
  <c r="E173" i="4"/>
  <c r="E171" i="4"/>
  <c r="E168" i="4"/>
  <c r="E166" i="4"/>
  <c r="E163" i="4"/>
  <c r="E158" i="4"/>
  <c r="E155" i="4"/>
  <c r="E154" i="4"/>
  <c r="E152" i="4"/>
  <c r="E151" i="4"/>
  <c r="E150" i="4"/>
  <c r="E149" i="4"/>
  <c r="E148" i="4"/>
  <c r="E145" i="4"/>
  <c r="E144" i="4"/>
  <c r="E143" i="4"/>
  <c r="E142" i="4"/>
  <c r="E139" i="4"/>
  <c r="E138" i="4"/>
  <c r="E136" i="4"/>
  <c r="E135" i="4"/>
  <c r="E134" i="4"/>
  <c r="E131" i="4"/>
  <c r="E130" i="4"/>
  <c r="E129" i="4"/>
  <c r="E127" i="4"/>
  <c r="E126" i="4"/>
  <c r="E124" i="4"/>
  <c r="E121" i="4"/>
  <c r="E119" i="4"/>
  <c r="E114" i="4"/>
  <c r="E110" i="4"/>
  <c r="E109" i="4"/>
  <c r="E108" i="4"/>
  <c r="E106" i="4"/>
  <c r="E105" i="4"/>
  <c r="E104" i="4"/>
  <c r="E103" i="4"/>
  <c r="E102" i="4"/>
  <c r="E101" i="4"/>
  <c r="E99" i="4"/>
  <c r="E98" i="4"/>
  <c r="E96" i="4"/>
  <c r="E95" i="4"/>
  <c r="E92" i="4"/>
  <c r="E91" i="4"/>
  <c r="E89" i="4"/>
  <c r="E86" i="4"/>
  <c r="E85" i="4"/>
  <c r="E83" i="4"/>
  <c r="E82" i="4"/>
  <c r="E81" i="4"/>
  <c r="E78" i="4"/>
  <c r="E77" i="4"/>
  <c r="E75" i="4"/>
  <c r="E72" i="4"/>
  <c r="E71" i="4"/>
  <c r="E70" i="4"/>
  <c r="E69" i="4"/>
  <c r="E67" i="4"/>
  <c r="E65" i="4"/>
  <c r="E64" i="4"/>
  <c r="E63" i="4"/>
  <c r="E60" i="4"/>
  <c r="E59" i="4"/>
  <c r="E56" i="4"/>
  <c r="E52" i="4"/>
  <c r="E50" i="4"/>
  <c r="E46" i="4"/>
  <c r="E45" i="4"/>
  <c r="E43" i="4"/>
  <c r="E40" i="4"/>
  <c r="E38" i="4"/>
  <c r="E33" i="4"/>
  <c r="E31" i="4"/>
  <c r="E30" i="4"/>
  <c r="E29" i="4"/>
  <c r="E24" i="4"/>
  <c r="E23" i="4"/>
  <c r="E22" i="4"/>
  <c r="E20" i="4"/>
  <c r="E17" i="4"/>
  <c r="E16" i="4"/>
  <c r="E15" i="4"/>
  <c r="E13" i="4"/>
  <c r="E12" i="4"/>
  <c r="E9" i="4"/>
  <c r="E8" i="4"/>
  <c r="E7" i="4"/>
  <c r="D812" i="4"/>
  <c r="D813" i="4"/>
  <c r="D823" i="4"/>
  <c r="D805" i="4"/>
  <c r="D800" i="4"/>
  <c r="E800" i="4" s="1"/>
  <c r="D793" i="4"/>
  <c r="D792" i="4" s="1"/>
  <c r="D788" i="4"/>
  <c r="D787" i="4" s="1"/>
  <c r="D782" i="4"/>
  <c r="D781" i="4" s="1"/>
  <c r="D777" i="4"/>
  <c r="E777" i="4" s="1"/>
  <c r="D773" i="4"/>
  <c r="D769" i="4"/>
  <c r="D765" i="4"/>
  <c r="D755" i="4"/>
  <c r="E755" i="4" s="1"/>
  <c r="D752" i="4"/>
  <c r="D746" i="4"/>
  <c r="D741" i="4"/>
  <c r="D739" i="4"/>
  <c r="D734" i="4"/>
  <c r="D732" i="4"/>
  <c r="D725" i="4"/>
  <c r="D722" i="4"/>
  <c r="D717" i="4" s="1"/>
  <c r="D718" i="4"/>
  <c r="D710" i="4"/>
  <c r="D706" i="4"/>
  <c r="D701" i="4"/>
  <c r="E701" i="4" s="1"/>
  <c r="D696" i="4"/>
  <c r="D688" i="4"/>
  <c r="D686" i="4"/>
  <c r="D682" i="4"/>
  <c r="E682" i="4" s="1"/>
  <c r="D679" i="4"/>
  <c r="D677" i="4"/>
  <c r="D674" i="4"/>
  <c r="D663" i="4"/>
  <c r="D662" i="4" s="1"/>
  <c r="D657" i="4"/>
  <c r="D655" i="4"/>
  <c r="D650" i="4"/>
  <c r="D645" i="4"/>
  <c r="E645" i="4" s="1"/>
  <c r="D641" i="4"/>
  <c r="D636" i="4"/>
  <c r="D632" i="4"/>
  <c r="D625" i="4"/>
  <c r="D622" i="4"/>
  <c r="D616" i="4"/>
  <c r="D615" i="4" s="1"/>
  <c r="D610" i="4"/>
  <c r="D609" i="4" s="1"/>
  <c r="D605" i="4"/>
  <c r="D600" i="4" s="1"/>
  <c r="D601" i="4"/>
  <c r="D596" i="4"/>
  <c r="D594" i="4"/>
  <c r="D590" i="4"/>
  <c r="D586" i="4"/>
  <c r="D582" i="4"/>
  <c r="D578" i="4"/>
  <c r="D570" i="4"/>
  <c r="D569" i="4" s="1"/>
  <c r="D565" i="4"/>
  <c r="D563" i="4"/>
  <c r="D560" i="4"/>
  <c r="D556" i="4"/>
  <c r="E556" i="4" s="1"/>
  <c r="D546" i="4"/>
  <c r="D540" i="4"/>
  <c r="D535" i="4"/>
  <c r="D532" i="4"/>
  <c r="D531" i="4" s="1"/>
  <c r="D524" i="4"/>
  <c r="D523" i="4" s="1"/>
  <c r="D519" i="4"/>
  <c r="D516" i="4"/>
  <c r="D512" i="4"/>
  <c r="E512" i="4" s="1"/>
  <c r="D509" i="4"/>
  <c r="D499" i="4"/>
  <c r="D498" i="4" s="1"/>
  <c r="D495" i="4"/>
  <c r="D492" i="4"/>
  <c r="D487" i="4"/>
  <c r="D484" i="4"/>
  <c r="D481" i="4"/>
  <c r="D477" i="4"/>
  <c r="E477" i="4" s="1"/>
  <c r="D471" i="4"/>
  <c r="D465" i="4"/>
  <c r="D464" i="4" s="1"/>
  <c r="D460" i="4"/>
  <c r="E460" i="4" s="1"/>
  <c r="D459" i="4"/>
  <c r="D457" i="4" s="1"/>
  <c r="D451" i="4"/>
  <c r="D449" i="4"/>
  <c r="D445" i="4"/>
  <c r="D442" i="4"/>
  <c r="D410" i="4"/>
  <c r="D409" i="4" s="1"/>
  <c r="D406" i="4"/>
  <c r="D404" i="4"/>
  <c r="D402" i="4"/>
  <c r="D399" i="4"/>
  <c r="D393" i="4"/>
  <c r="D392" i="4" s="1"/>
  <c r="E392" i="4" s="1"/>
  <c r="D387" i="4"/>
  <c r="D379" i="4"/>
  <c r="E379" i="4" s="1"/>
  <c r="D374" i="4"/>
  <c r="D372" i="4"/>
  <c r="D366" i="4"/>
  <c r="D365" i="4" s="1"/>
  <c r="D361" i="4"/>
  <c r="E361" i="4" s="1"/>
  <c r="D356" i="4"/>
  <c r="D354" i="4"/>
  <c r="D350" i="4"/>
  <c r="E350" i="4" s="1"/>
  <c r="D346" i="4"/>
  <c r="E346" i="4" s="1"/>
  <c r="D344" i="4"/>
  <c r="E344" i="4" s="1"/>
  <c r="D341" i="4"/>
  <c r="D338" i="4"/>
  <c r="D334" i="4"/>
  <c r="E334" i="4" s="1"/>
  <c r="D331" i="4"/>
  <c r="D326" i="4"/>
  <c r="D323" i="4"/>
  <c r="D318" i="4"/>
  <c r="D314" i="4"/>
  <c r="D308" i="4"/>
  <c r="D307" i="4" s="1"/>
  <c r="D301" i="4"/>
  <c r="D298" i="4"/>
  <c r="D294" i="4"/>
  <c r="D290" i="4"/>
  <c r="D287" i="4"/>
  <c r="D282" i="4"/>
  <c r="E282" i="4" s="1"/>
  <c r="D279" i="4"/>
  <c r="D275" i="4"/>
  <c r="D264" i="4"/>
  <c r="D263" i="4" s="1"/>
  <c r="D254" i="4"/>
  <c r="E254" i="4" s="1"/>
  <c r="D236" i="4"/>
  <c r="D233" i="4"/>
  <c r="D229" i="4"/>
  <c r="E229" i="4" s="1"/>
  <c r="D225" i="4"/>
  <c r="D220" i="4" s="1"/>
  <c r="E164" i="4"/>
  <c r="E162" i="4"/>
  <c r="E161" i="4"/>
  <c r="D157" i="4"/>
  <c r="D156" i="4" s="1"/>
  <c r="E156" i="4" s="1"/>
  <c r="D153" i="4"/>
  <c r="D147" i="4"/>
  <c r="E147" i="4" s="1"/>
  <c r="E118" i="4"/>
  <c r="E117" i="4"/>
  <c r="E113" i="4"/>
  <c r="D76" i="4"/>
  <c r="E58" i="4"/>
  <c r="D28" i="4"/>
  <c r="E28" i="4" s="1"/>
  <c r="D26" i="4"/>
  <c r="D21" i="4"/>
  <c r="E21" i="4" s="1"/>
  <c r="D19" i="4"/>
  <c r="D468" i="4"/>
  <c r="D825" i="4" s="1"/>
  <c r="E471" i="4"/>
  <c r="E42" i="4"/>
  <c r="E190" i="4"/>
  <c r="D253" i="4"/>
  <c r="D252" i="4" s="1"/>
  <c r="D705" i="4"/>
  <c r="D14" i="21"/>
  <c r="B13" i="21"/>
  <c r="D13" i="21" s="1"/>
  <c r="B9" i="21"/>
  <c r="D9" i="21" s="1"/>
  <c r="C8" i="21"/>
  <c r="D6" i="21"/>
  <c r="B5" i="21"/>
  <c r="D5" i="21" s="1"/>
  <c r="B28" i="12"/>
  <c r="B43" i="12"/>
  <c r="B49" i="12"/>
  <c r="B52" i="12"/>
  <c r="C7" i="12"/>
  <c r="C5" i="12" s="1"/>
  <c r="C33" i="12"/>
  <c r="C52" i="12"/>
  <c r="C46" i="12"/>
  <c r="E46" i="12" s="1"/>
  <c r="C58" i="12"/>
  <c r="C56" i="12" s="1"/>
  <c r="B7" i="12"/>
  <c r="B22" i="12"/>
  <c r="B33" i="12"/>
  <c r="B58" i="12"/>
  <c r="C813" i="4"/>
  <c r="C814" i="4"/>
  <c r="C815" i="4"/>
  <c r="C822" i="4"/>
  <c r="C823" i="4"/>
  <c r="C825" i="4"/>
  <c r="E11" i="4"/>
  <c r="E14" i="4"/>
  <c r="E201" i="4"/>
  <c r="E205" i="4"/>
  <c r="E257" i="4"/>
  <c r="E260" i="4"/>
  <c r="E268" i="4"/>
  <c r="E271" i="4"/>
  <c r="E279" i="4"/>
  <c r="E414" i="4"/>
  <c r="E416" i="4"/>
  <c r="E428" i="4"/>
  <c r="E430" i="4"/>
  <c r="E449" i="4"/>
  <c r="C6" i="4"/>
  <c r="C5" i="4" s="1"/>
  <c r="C812" i="4" s="1"/>
  <c r="C241" i="4"/>
  <c r="E241" i="4" s="1"/>
  <c r="C249" i="4"/>
  <c r="E249" i="4" s="1"/>
  <c r="C264" i="4"/>
  <c r="C263" i="4" s="1"/>
  <c r="C275" i="4"/>
  <c r="C274" i="4" s="1"/>
  <c r="C287" i="4"/>
  <c r="C290" i="4"/>
  <c r="C294" i="4"/>
  <c r="C298" i="4"/>
  <c r="C301" i="4"/>
  <c r="C451" i="4"/>
  <c r="C448" i="4" s="1"/>
  <c r="C439" i="4" s="1"/>
  <c r="C824" i="4" s="1"/>
  <c r="C477" i="4"/>
  <c r="C481" i="4"/>
  <c r="E481" i="4" s="1"/>
  <c r="C484" i="4"/>
  <c r="C487" i="4"/>
  <c r="C476" i="4" s="1"/>
  <c r="C474" i="4" s="1"/>
  <c r="C827" i="4" s="1"/>
  <c r="C492" i="4"/>
  <c r="C495" i="4"/>
  <c r="E495" i="4" s="1"/>
  <c r="C499" i="4"/>
  <c r="C498" i="4" s="1"/>
  <c r="C509" i="4"/>
  <c r="E509" i="4" s="1"/>
  <c r="C512" i="4"/>
  <c r="C516" i="4"/>
  <c r="C519" i="4"/>
  <c r="C524" i="4"/>
  <c r="C523" i="4" s="1"/>
  <c r="C532" i="4"/>
  <c r="C535" i="4"/>
  <c r="C540" i="4"/>
  <c r="C546" i="4"/>
  <c r="E546" i="4" s="1"/>
  <c r="C556" i="4"/>
  <c r="C560" i="4"/>
  <c r="C563" i="4"/>
  <c r="E563" i="4" s="1"/>
  <c r="C565" i="4"/>
  <c r="E565" i="4" s="1"/>
  <c r="C570" i="4"/>
  <c r="C569" i="4" s="1"/>
  <c r="C578" i="4"/>
  <c r="C582" i="4"/>
  <c r="E582" i="4" s="1"/>
  <c r="C586" i="4"/>
  <c r="E586" i="4" s="1"/>
  <c r="C590" i="4"/>
  <c r="C594" i="4"/>
  <c r="C596" i="4"/>
  <c r="C601" i="4"/>
  <c r="E601" i="4" s="1"/>
  <c r="C605" i="4"/>
  <c r="C610" i="4"/>
  <c r="C609" i="4" s="1"/>
  <c r="C616" i="4"/>
  <c r="C615" i="4" s="1"/>
  <c r="C622" i="4"/>
  <c r="C625" i="4"/>
  <c r="C632" i="4"/>
  <c r="C636" i="4"/>
  <c r="E636" i="4" s="1"/>
  <c r="C641" i="4"/>
  <c r="C631" i="4" s="1"/>
  <c r="C645" i="4"/>
  <c r="C650" i="4"/>
  <c r="C657" i="4"/>
  <c r="E657" i="4" s="1"/>
  <c r="C655" i="4"/>
  <c r="E655" i="4" s="1"/>
  <c r="C663" i="4"/>
  <c r="C662" i="4" s="1"/>
  <c r="C679" i="4"/>
  <c r="E679" i="4" s="1"/>
  <c r="C682" i="4"/>
  <c r="C686" i="4"/>
  <c r="C673" i="4" s="1"/>
  <c r="C688" i="4"/>
  <c r="C674" i="4"/>
  <c r="E674" i="4" s="1"/>
  <c r="C677" i="4"/>
  <c r="C696" i="4"/>
  <c r="C695" i="4" s="1"/>
  <c r="C701" i="4"/>
  <c r="C706" i="4"/>
  <c r="E706" i="4" s="1"/>
  <c r="C710" i="4"/>
  <c r="E710" i="4" s="1"/>
  <c r="C718" i="4"/>
  <c r="C722" i="4"/>
  <c r="C725" i="4"/>
  <c r="E725" i="4" s="1"/>
  <c r="C732" i="4"/>
  <c r="E732" i="4" s="1"/>
  <c r="C734" i="4"/>
  <c r="E734" i="4" s="1"/>
  <c r="C739" i="4"/>
  <c r="C741" i="4"/>
  <c r="E741" i="4" s="1"/>
  <c r="C746" i="4"/>
  <c r="E746" i="4" s="1"/>
  <c r="C752" i="4"/>
  <c r="C755" i="4"/>
  <c r="C765" i="4"/>
  <c r="E765" i="4" s="1"/>
  <c r="C769" i="4"/>
  <c r="E769" i="4" s="1"/>
  <c r="C773" i="4"/>
  <c r="C777" i="4"/>
  <c r="C783" i="4"/>
  <c r="C782" i="4" s="1"/>
  <c r="E782" i="4" s="1"/>
  <c r="C788" i="4"/>
  <c r="C787" i="4" s="1"/>
  <c r="C793" i="4"/>
  <c r="C792" i="4" s="1"/>
  <c r="C800" i="4"/>
  <c r="C805" i="4"/>
  <c r="E805" i="4" s="1"/>
  <c r="C384" i="4"/>
  <c r="C378" i="4" s="1"/>
  <c r="C820" i="4" s="1"/>
  <c r="C7" i="7"/>
  <c r="C203" i="4"/>
  <c r="E203" i="4" s="1"/>
  <c r="C76" i="4"/>
  <c r="C199" i="4"/>
  <c r="C246" i="4"/>
  <c r="C245" i="4" s="1"/>
  <c r="E245" i="4" s="1"/>
  <c r="C57" i="7"/>
  <c r="B57" i="7"/>
  <c r="C47" i="7"/>
  <c r="E47" i="7" s="1"/>
  <c r="C36" i="7"/>
  <c r="C6" i="7"/>
  <c r="C5" i="7" s="1"/>
  <c r="C77" i="7"/>
  <c r="C41" i="7"/>
  <c r="C13" i="7"/>
  <c r="C12" i="7" s="1"/>
  <c r="E561" i="4"/>
  <c r="E458" i="4"/>
  <c r="E453" i="4"/>
  <c r="E446" i="4"/>
  <c r="E443" i="4"/>
  <c r="E388" i="4"/>
  <c r="E342" i="4"/>
  <c r="E296" i="4"/>
  <c r="B290" i="4"/>
  <c r="E288" i="4"/>
  <c r="B76" i="4"/>
  <c r="E49" i="4"/>
  <c r="B7" i="7"/>
  <c r="B6" i="7" s="1"/>
  <c r="E6" i="7" s="1"/>
  <c r="B42" i="7"/>
  <c r="E42" i="7" s="1"/>
  <c r="B54" i="7"/>
  <c r="E54" i="7" s="1"/>
  <c r="B36" i="7"/>
  <c r="E36" i="7" s="1"/>
  <c r="B30" i="7"/>
  <c r="E30" i="7" s="1"/>
  <c r="B28" i="7"/>
  <c r="E28" i="7" s="1"/>
  <c r="B22" i="7"/>
  <c r="B19" i="7"/>
  <c r="E19" i="7" s="1"/>
  <c r="B16" i="7"/>
  <c r="B13" i="7"/>
  <c r="E13" i="7" s="1"/>
  <c r="B9" i="7"/>
  <c r="E9" i="7" s="1"/>
  <c r="B69" i="7"/>
  <c r="E69" i="7" s="1"/>
  <c r="B67" i="7"/>
  <c r="E67" i="7" s="1"/>
  <c r="B77" i="7"/>
  <c r="E77" i="7" s="1"/>
  <c r="E27" i="4"/>
  <c r="E74" i="4"/>
  <c r="E189" i="4"/>
  <c r="E289" i="4"/>
  <c r="E343" i="4"/>
  <c r="E211" i="4"/>
  <c r="E677" i="4"/>
  <c r="E590" i="4"/>
  <c r="E487" i="4"/>
  <c r="E469" i="4"/>
  <c r="E374" i="4"/>
  <c r="E301" i="4"/>
  <c r="E165" i="4"/>
  <c r="E125" i="4"/>
  <c r="E44" i="4"/>
  <c r="E57" i="4"/>
  <c r="E198" i="4"/>
  <c r="E199" i="4"/>
  <c r="E622" i="4"/>
  <c r="E484" i="4"/>
  <c r="E434" i="4"/>
  <c r="E422" i="4"/>
  <c r="E406" i="4"/>
  <c r="E393" i="4"/>
  <c r="E372" i="4"/>
  <c r="E318" i="4"/>
  <c r="E90" i="4"/>
  <c r="E100" i="4"/>
  <c r="E84" i="4"/>
  <c r="E41" i="4"/>
  <c r="E51" i="4"/>
  <c r="E66" i="4"/>
  <c r="E157" i="4"/>
  <c r="E233" i="4"/>
  <c r="E234" i="4"/>
  <c r="E789" i="4"/>
  <c r="E739" i="4"/>
  <c r="E688" i="4"/>
  <c r="E616" i="4"/>
  <c r="E596" i="4"/>
  <c r="E535" i="4"/>
  <c r="E516" i="4"/>
  <c r="E404" i="4"/>
  <c r="E384" i="4"/>
  <c r="E331" i="4"/>
  <c r="E314" i="4"/>
  <c r="E214" i="4"/>
  <c r="E133" i="4"/>
  <c r="E88" i="4"/>
  <c r="E94" i="4"/>
  <c r="E80" i="4"/>
  <c r="E37" i="4"/>
  <c r="E53" i="4"/>
  <c r="E68" i="4"/>
  <c r="E172" i="4"/>
  <c r="E459" i="4"/>
  <c r="E773" i="4"/>
  <c r="E686" i="4"/>
  <c r="E532" i="4"/>
  <c r="E356" i="4"/>
  <c r="E326" i="4"/>
  <c r="E307" i="4"/>
  <c r="E308" i="4"/>
  <c r="E264" i="4"/>
  <c r="E167" i="4"/>
  <c r="C491" i="4"/>
  <c r="C293" i="4"/>
  <c r="C705" i="4"/>
  <c r="C286" i="4"/>
  <c r="C799" i="4"/>
  <c r="C593" i="4"/>
  <c r="E62" i="4"/>
  <c r="E294" i="4"/>
  <c r="B812" i="4"/>
  <c r="B825" i="4"/>
  <c r="E451" i="4"/>
  <c r="E788" i="4"/>
  <c r="E445" i="4"/>
  <c r="E5" i="4"/>
  <c r="E26" i="4"/>
  <c r="C508" i="4" l="1"/>
  <c r="E499" i="4"/>
  <c r="E641" i="4"/>
  <c r="E355" i="4"/>
  <c r="E605" i="4"/>
  <c r="E540" i="4"/>
  <c r="E519" i="4"/>
  <c r="E209" i="4"/>
  <c r="E290" i="4"/>
  <c r="E594" i="4"/>
  <c r="E578" i="4"/>
  <c r="C539" i="4"/>
  <c r="E610" i="4"/>
  <c r="E246" i="4"/>
  <c r="E663" i="4"/>
  <c r="E524" i="4"/>
  <c r="C731" i="4"/>
  <c r="E366" i="4"/>
  <c r="E465" i="4"/>
  <c r="E783" i="4"/>
  <c r="E141" i="4"/>
  <c r="E323" i="4"/>
  <c r="E570" i="4"/>
  <c r="E225" i="4"/>
  <c r="E169" i="4"/>
  <c r="E236" i="4"/>
  <c r="C26" i="12"/>
  <c r="C25" i="12" s="1"/>
  <c r="C64" i="12" s="1"/>
  <c r="E33" i="12"/>
  <c r="B560" i="4"/>
  <c r="E560" i="4" s="1"/>
  <c r="D621" i="4"/>
  <c r="E298" i="4"/>
  <c r="B132" i="4"/>
  <c r="D200" i="4"/>
  <c r="E200" i="4" s="1"/>
  <c r="D398" i="4"/>
  <c r="D390" i="4" s="1"/>
  <c r="D821" i="4" s="1"/>
  <c r="D673" i="4"/>
  <c r="D671" i="4" s="1"/>
  <c r="D832" i="4" s="1"/>
  <c r="C717" i="4"/>
  <c r="C671" i="4" s="1"/>
  <c r="C832" i="4" s="1"/>
  <c r="D799" i="4"/>
  <c r="C745" i="4"/>
  <c r="C729" i="4" s="1"/>
  <c r="C833" i="4" s="1"/>
  <c r="E492" i="4"/>
  <c r="E625" i="4"/>
  <c r="E662" i="4"/>
  <c r="D695" i="4"/>
  <c r="E722" i="4"/>
  <c r="D745" i="4"/>
  <c r="C649" i="4"/>
  <c r="C531" i="4"/>
  <c r="C506" i="4" s="1"/>
  <c r="C828" i="4" s="1"/>
  <c r="D337" i="4"/>
  <c r="D764" i="4"/>
  <c r="D12" i="7"/>
  <c r="B8" i="21"/>
  <c r="D8" i="21" s="1"/>
  <c r="B11" i="21"/>
  <c r="D11" i="21" s="1"/>
  <c r="B56" i="12"/>
  <c r="E56" i="12" s="1"/>
  <c r="E58" i="12"/>
  <c r="D33" i="23"/>
  <c r="H33" i="23" s="1"/>
  <c r="E28" i="12"/>
  <c r="D881" i="23"/>
  <c r="H881" i="23" s="1"/>
  <c r="E52" i="12"/>
  <c r="D26" i="12"/>
  <c r="D25" i="12" s="1"/>
  <c r="E39" i="12"/>
  <c r="B21" i="12"/>
  <c r="E21" i="12" s="1"/>
  <c r="E22" i="12"/>
  <c r="D808" i="23"/>
  <c r="H808" i="23" s="1"/>
  <c r="E49" i="12"/>
  <c r="B5" i="12"/>
  <c r="E5" i="12" s="1"/>
  <c r="E7" i="12"/>
  <c r="D412" i="23"/>
  <c r="H412" i="23" s="1"/>
  <c r="E43" i="12"/>
  <c r="C111" i="4"/>
  <c r="C764" i="4"/>
  <c r="C202" i="4"/>
  <c r="E202" i="4" s="1"/>
  <c r="C577" i="4"/>
  <c r="E650" i="4"/>
  <c r="E6" i="4"/>
  <c r="E793" i="4"/>
  <c r="E76" i="4"/>
  <c r="E410" i="4"/>
  <c r="D18" i="4"/>
  <c r="D814" i="4" s="1"/>
  <c r="D228" i="4"/>
  <c r="D274" i="4"/>
  <c r="B799" i="4"/>
  <c r="B764" i="4"/>
  <c r="B593" i="4"/>
  <c r="C555" i="4"/>
  <c r="C553" i="4" s="1"/>
  <c r="C829" i="4" s="1"/>
  <c r="C240" i="4"/>
  <c r="C218" i="4" s="1"/>
  <c r="C818" i="4" s="1"/>
  <c r="E275" i="4"/>
  <c r="E464" i="4"/>
  <c r="B448" i="4"/>
  <c r="D441" i="4"/>
  <c r="B621" i="4"/>
  <c r="B531" i="4"/>
  <c r="E531" i="4" s="1"/>
  <c r="E55" i="4"/>
  <c r="B18" i="4"/>
  <c r="D118" i="23" s="1"/>
  <c r="B66" i="7"/>
  <c r="E66" i="7" s="1"/>
  <c r="C80" i="7"/>
  <c r="B41" i="7"/>
  <c r="B34" i="7" s="1"/>
  <c r="E22" i="7"/>
  <c r="C34" i="7"/>
  <c r="B27" i="7"/>
  <c r="E27" i="7" s="1"/>
  <c r="B12" i="7"/>
  <c r="E12" i="7" s="1"/>
  <c r="E7" i="7"/>
  <c r="E57" i="7"/>
  <c r="D45" i="7"/>
  <c r="E45" i="7" s="1"/>
  <c r="C629" i="4"/>
  <c r="C831" i="4" s="1"/>
  <c r="E170" i="4"/>
  <c r="B409" i="4"/>
  <c r="B341" i="4"/>
  <c r="B337" i="4" s="1"/>
  <c r="C621" i="4"/>
  <c r="E621" i="4" s="1"/>
  <c r="E354" i="4"/>
  <c r="D116" i="4"/>
  <c r="E116" i="4" s="1"/>
  <c r="B705" i="4"/>
  <c r="E705" i="4" s="1"/>
  <c r="B491" i="4"/>
  <c r="C337" i="4"/>
  <c r="D87" i="4"/>
  <c r="B93" i="4"/>
  <c r="B48" i="4"/>
  <c r="E48" i="4" s="1"/>
  <c r="B25" i="4"/>
  <c r="B815" i="4" s="1"/>
  <c r="B5" i="7"/>
  <c r="B53" i="7"/>
  <c r="E53" i="7" s="1"/>
  <c r="E16" i="7"/>
  <c r="E58" i="7"/>
  <c r="E341" i="4"/>
  <c r="E442" i="4"/>
  <c r="C398" i="4"/>
  <c r="C390" i="4" s="1"/>
  <c r="C349" i="4"/>
  <c r="E35" i="4"/>
  <c r="C600" i="4"/>
  <c r="D286" i="4"/>
  <c r="E787" i="4"/>
  <c r="E764" i="4"/>
  <c r="B717" i="4"/>
  <c r="B187" i="4"/>
  <c r="C87" i="4"/>
  <c r="C79" i="4"/>
  <c r="B10" i="4"/>
  <c r="D349" i="4"/>
  <c r="D456" i="4"/>
  <c r="D491" i="4"/>
  <c r="E609" i="4"/>
  <c r="E365" i="4"/>
  <c r="C762" i="4"/>
  <c r="C834" i="4" s="1"/>
  <c r="D313" i="4"/>
  <c r="D330" i="4"/>
  <c r="E330" i="4" s="1"/>
  <c r="D371" i="4"/>
  <c r="D593" i="4"/>
  <c r="E593" i="4" s="1"/>
  <c r="B555" i="4"/>
  <c r="B553" i="4" s="1"/>
  <c r="B539" i="4"/>
  <c r="B457" i="4"/>
  <c r="E457" i="4" s="1"/>
  <c r="C34" i="4"/>
  <c r="B378" i="4"/>
  <c r="E387" i="4"/>
  <c r="E812" i="4"/>
  <c r="E615" i="4"/>
  <c r="D731" i="4"/>
  <c r="D729" i="4" s="1"/>
  <c r="D833" i="4" s="1"/>
  <c r="B745" i="4"/>
  <c r="E745" i="4" s="1"/>
  <c r="B577" i="4"/>
  <c r="B441" i="4"/>
  <c r="B433" i="4"/>
  <c r="E433" i="4" s="1"/>
  <c r="D293" i="4"/>
  <c r="E569" i="4"/>
  <c r="B673" i="4"/>
  <c r="B476" i="4"/>
  <c r="B313" i="4"/>
  <c r="D122" i="4"/>
  <c r="C175" i="4"/>
  <c r="D79" i="4"/>
  <c r="E498" i="4"/>
  <c r="E792" i="4"/>
  <c r="E523" i="4"/>
  <c r="B274" i="4"/>
  <c r="E274" i="4" s="1"/>
  <c r="D322" i="4"/>
  <c r="D539" i="4"/>
  <c r="B731" i="4"/>
  <c r="B649" i="4"/>
  <c r="B421" i="4"/>
  <c r="E421" i="4" s="1"/>
  <c r="B322" i="4"/>
  <c r="D112" i="4"/>
  <c r="E112" i="4" s="1"/>
  <c r="E781" i="4"/>
  <c r="D957" i="23"/>
  <c r="H957" i="23" s="1"/>
  <c r="E468" i="4"/>
  <c r="E825" i="4" s="1"/>
  <c r="B695" i="4"/>
  <c r="E695" i="4" s="1"/>
  <c r="B631" i="4"/>
  <c r="B600" i="4"/>
  <c r="C371" i="4"/>
  <c r="B293" i="4"/>
  <c r="B263" i="4"/>
  <c r="E263" i="4" s="1"/>
  <c r="B228" i="4"/>
  <c r="E228" i="4" s="1"/>
  <c r="D160" i="4"/>
  <c r="E160" i="4" s="1"/>
  <c r="C159" i="4"/>
  <c r="C146" i="4"/>
  <c r="C122" i="4"/>
  <c r="E122" i="4" s="1"/>
  <c r="B175" i="4"/>
  <c r="D93" i="4"/>
  <c r="C93" i="4"/>
  <c r="C47" i="4"/>
  <c r="B87" i="4"/>
  <c r="B79" i="4"/>
  <c r="D476" i="4"/>
  <c r="D508" i="4"/>
  <c r="D555" i="4"/>
  <c r="D577" i="4"/>
  <c r="D631" i="4"/>
  <c r="D649" i="4"/>
  <c r="B508" i="4"/>
  <c r="D25" i="4"/>
  <c r="D448" i="4"/>
  <c r="B371" i="4"/>
  <c r="B349" i="4"/>
  <c r="B287" i="4"/>
  <c r="B240" i="4"/>
  <c r="E240" i="4" s="1"/>
  <c r="D175" i="4"/>
  <c r="D132" i="4"/>
  <c r="E132" i="4" s="1"/>
  <c r="C187" i="4"/>
  <c r="B146" i="4"/>
  <c r="D47" i="4"/>
  <c r="C61" i="4"/>
  <c r="B111" i="4"/>
  <c r="D378" i="4"/>
  <c r="B398" i="4"/>
  <c r="B252" i="4"/>
  <c r="E252" i="4" s="1"/>
  <c r="B220" i="4"/>
  <c r="E220" i="4" s="1"/>
  <c r="D188" i="4"/>
  <c r="C208" i="4"/>
  <c r="E208" i="4" s="1"/>
  <c r="B159" i="4"/>
  <c r="D61" i="4"/>
  <c r="B34" i="4"/>
  <c r="D11" i="23"/>
  <c r="H11" i="23" s="1"/>
  <c r="E253" i="4"/>
  <c r="E19" i="4"/>
  <c r="B61" i="4"/>
  <c r="D360" i="4"/>
  <c r="E360" i="4" s="1"/>
  <c r="D34" i="4"/>
  <c r="D64" i="12"/>
  <c r="B26" i="12"/>
  <c r="E26" i="12" s="1"/>
  <c r="E409" i="4"/>
  <c r="D822" i="4"/>
  <c r="E799" i="4" l="1"/>
  <c r="D119" i="23"/>
  <c r="H119" i="23" s="1"/>
  <c r="H118" i="23"/>
  <c r="H1583" i="23" s="1"/>
  <c r="B20" i="12"/>
  <c r="E20" i="12" s="1"/>
  <c r="B814" i="4"/>
  <c r="E600" i="4"/>
  <c r="D474" i="4"/>
  <c r="D827" i="4" s="1"/>
  <c r="D762" i="4"/>
  <c r="D834" i="4" s="1"/>
  <c r="B474" i="4"/>
  <c r="B827" i="4" s="1"/>
  <c r="D958" i="23"/>
  <c r="H958" i="23" s="1"/>
  <c r="D132" i="23"/>
  <c r="H132" i="23" s="1"/>
  <c r="B762" i="4"/>
  <c r="B834" i="4" s="1"/>
  <c r="B47" i="4"/>
  <c r="E322" i="4"/>
  <c r="E539" i="4"/>
  <c r="E673" i="4"/>
  <c r="E441" i="4"/>
  <c r="E717" i="4"/>
  <c r="B575" i="4"/>
  <c r="D1141" i="23" s="1"/>
  <c r="H1141" i="23" s="1"/>
  <c r="E18" i="4"/>
  <c r="E814" i="4" s="1"/>
  <c r="B456" i="4"/>
  <c r="E456" i="4" s="1"/>
  <c r="B629" i="4"/>
  <c r="B831" i="4" s="1"/>
  <c r="D41" i="7"/>
  <c r="D34" i="7" s="1"/>
  <c r="D80" i="7" s="1"/>
  <c r="E349" i="4"/>
  <c r="D218" i="4"/>
  <c r="D818" i="4" s="1"/>
  <c r="C305" i="4"/>
  <c r="F411" i="23" s="1"/>
  <c r="D1583" i="23"/>
  <c r="E371" i="4"/>
  <c r="E146" i="4"/>
  <c r="E448" i="4"/>
  <c r="E293" i="4"/>
  <c r="E313" i="4"/>
  <c r="C821" i="4"/>
  <c r="F654" i="23"/>
  <c r="F1590" i="23" s="1"/>
  <c r="B305" i="4"/>
  <c r="D411" i="23" s="1"/>
  <c r="E61" i="4"/>
  <c r="D1594" i="23"/>
  <c r="B671" i="4"/>
  <c r="E671" i="4" s="1"/>
  <c r="E832" i="4" s="1"/>
  <c r="E93" i="4"/>
  <c r="D111" i="4"/>
  <c r="E111" i="4" s="1"/>
  <c r="B419" i="4"/>
  <c r="E419" i="4" s="1"/>
  <c r="D750" i="23"/>
  <c r="H750" i="23" s="1"/>
  <c r="B822" i="4"/>
  <c r="C32" i="4"/>
  <c r="F144" i="23" s="1"/>
  <c r="E337" i="4"/>
  <c r="E649" i="4"/>
  <c r="D506" i="4"/>
  <c r="D828" i="4" s="1"/>
  <c r="E491" i="4"/>
  <c r="C575" i="4"/>
  <c r="C830" i="4" s="1"/>
  <c r="E5" i="7"/>
  <c r="B80" i="7"/>
  <c r="B120" i="4"/>
  <c r="B817" i="4" s="1"/>
  <c r="E398" i="4"/>
  <c r="E508" i="4"/>
  <c r="E87" i="4"/>
  <c r="D32" i="23"/>
  <c r="H32" i="23" s="1"/>
  <c r="E10" i="4"/>
  <c r="E813" i="4" s="1"/>
  <c r="B813" i="4"/>
  <c r="C120" i="4"/>
  <c r="C817" i="4" s="1"/>
  <c r="E79" i="4"/>
  <c r="B439" i="4"/>
  <c r="B824" i="4" s="1"/>
  <c r="B729" i="4"/>
  <c r="E729" i="4" s="1"/>
  <c r="E833" i="4" s="1"/>
  <c r="E731" i="4"/>
  <c r="D612" i="23"/>
  <c r="H612" i="23" s="1"/>
  <c r="B820" i="4"/>
  <c r="D629" i="4"/>
  <c r="D831" i="4" s="1"/>
  <c r="D187" i="4"/>
  <c r="E187" i="4" s="1"/>
  <c r="E188" i="4"/>
  <c r="D820" i="4"/>
  <c r="E378" i="4"/>
  <c r="B506" i="4"/>
  <c r="D1036" i="23" s="1"/>
  <c r="H1036" i="23" s="1"/>
  <c r="D159" i="4"/>
  <c r="E159" i="4" s="1"/>
  <c r="B286" i="4"/>
  <c r="E286" i="4" s="1"/>
  <c r="E287" i="4"/>
  <c r="D439" i="4"/>
  <c r="D824" i="4" s="1"/>
  <c r="E47" i="4"/>
  <c r="B390" i="4"/>
  <c r="D575" i="4"/>
  <c r="D830" i="4" s="1"/>
  <c r="E577" i="4"/>
  <c r="E631" i="4"/>
  <c r="D815" i="4"/>
  <c r="E25" i="4"/>
  <c r="D553" i="4"/>
  <c r="D829" i="4" s="1"/>
  <c r="E555" i="4"/>
  <c r="E175" i="4"/>
  <c r="E476" i="4"/>
  <c r="D1373" i="23"/>
  <c r="H1373" i="23" s="1"/>
  <c r="E762" i="4"/>
  <c r="E834" i="4" s="1"/>
  <c r="D305" i="4"/>
  <c r="D819" i="4" s="1"/>
  <c r="B32" i="4"/>
  <c r="D1581" i="23"/>
  <c r="D12" i="23"/>
  <c r="D1100" i="23"/>
  <c r="H1100" i="23" s="1"/>
  <c r="B829" i="4"/>
  <c r="H1546" i="23"/>
  <c r="H1594" i="23"/>
  <c r="E34" i="4"/>
  <c r="C816" i="4"/>
  <c r="B25" i="12"/>
  <c r="E25" i="12" s="1"/>
  <c r="E822" i="4"/>
  <c r="D117" i="23" l="1"/>
  <c r="H117" i="23" s="1"/>
  <c r="C819" i="4"/>
  <c r="D985" i="23"/>
  <c r="H985" i="23" s="1"/>
  <c r="D807" i="23"/>
  <c r="H411" i="23"/>
  <c r="H1588" i="23" s="1"/>
  <c r="D1557" i="23"/>
  <c r="D1546" i="23"/>
  <c r="D10" i="23"/>
  <c r="H10" i="23" s="1"/>
  <c r="H12" i="23"/>
  <c r="D809" i="23"/>
  <c r="D1555" i="23" s="1"/>
  <c r="H807" i="23"/>
  <c r="B64" i="12"/>
  <c r="E64" i="12" s="1"/>
  <c r="B819" i="4"/>
  <c r="D1205" i="23"/>
  <c r="B830" i="4"/>
  <c r="E474" i="4"/>
  <c r="D133" i="23"/>
  <c r="D956" i="23"/>
  <c r="H956" i="23" s="1"/>
  <c r="E439" i="4"/>
  <c r="E824" i="4" s="1"/>
  <c r="E629" i="4"/>
  <c r="D1584" i="23"/>
  <c r="E506" i="4"/>
  <c r="E828" i="4" s="1"/>
  <c r="C808" i="4"/>
  <c r="C19" i="15" s="1"/>
  <c r="D32" i="4"/>
  <c r="G144" i="23" s="1"/>
  <c r="D219" i="23"/>
  <c r="D221" i="23" s="1"/>
  <c r="B828" i="4"/>
  <c r="B823" i="4"/>
  <c r="E41" i="7"/>
  <c r="E80" i="7"/>
  <c r="E34" i="7"/>
  <c r="F655" i="23"/>
  <c r="F1553" i="23" s="1"/>
  <c r="D752" i="23"/>
  <c r="H752" i="23" s="1"/>
  <c r="D1591" i="23"/>
  <c r="D1592" i="23"/>
  <c r="E575" i="4"/>
  <c r="E830" i="4" s="1"/>
  <c r="F219" i="23"/>
  <c r="F1586" i="23" s="1"/>
  <c r="B832" i="4"/>
  <c r="D1257" i="23"/>
  <c r="H1257" i="23" s="1"/>
  <c r="D1582" i="23"/>
  <c r="D34" i="23"/>
  <c r="H34" i="23" s="1"/>
  <c r="D1589" i="23"/>
  <c r="D613" i="23"/>
  <c r="C835" i="4"/>
  <c r="E553" i="4"/>
  <c r="E829" i="4" s="1"/>
  <c r="E305" i="4"/>
  <c r="E819" i="4" s="1"/>
  <c r="B833" i="4"/>
  <c r="D1324" i="23"/>
  <c r="H1324" i="23" s="1"/>
  <c r="D880" i="23"/>
  <c r="H880" i="23" s="1"/>
  <c r="D120" i="4"/>
  <c r="E120" i="4" s="1"/>
  <c r="E817" i="4" s="1"/>
  <c r="E823" i="4"/>
  <c r="B218" i="4"/>
  <c r="B808" i="4" s="1"/>
  <c r="E815" i="4"/>
  <c r="E820" i="4"/>
  <c r="B821" i="4"/>
  <c r="E390" i="4"/>
  <c r="D654" i="23"/>
  <c r="H654" i="23" s="1"/>
  <c r="D1598" i="23"/>
  <c r="D1142" i="23"/>
  <c r="D1596" i="23"/>
  <c r="D1037" i="23"/>
  <c r="D1602" i="23"/>
  <c r="D1374" i="23"/>
  <c r="H1374" i="23" s="1"/>
  <c r="F1585" i="23"/>
  <c r="F146" i="23"/>
  <c r="F1548" i="23" s="1"/>
  <c r="E831" i="4"/>
  <c r="D1544" i="23"/>
  <c r="H1584" i="23"/>
  <c r="D1588" i="23"/>
  <c r="D413" i="23"/>
  <c r="D1597" i="23"/>
  <c r="D1101" i="23"/>
  <c r="H1581" i="23"/>
  <c r="D144" i="23"/>
  <c r="B816" i="4"/>
  <c r="F19" i="15"/>
  <c r="F1588" i="23"/>
  <c r="F413" i="23"/>
  <c r="H1557" i="23"/>
  <c r="E827" i="4"/>
  <c r="D986" i="23" l="1"/>
  <c r="D984" i="23" s="1"/>
  <c r="H984" i="23" s="1"/>
  <c r="D1595" i="23"/>
  <c r="H144" i="23"/>
  <c r="D218" i="23"/>
  <c r="D1035" i="23"/>
  <c r="H1035" i="23" s="1"/>
  <c r="H1037" i="23"/>
  <c r="D1099" i="23"/>
  <c r="H1099" i="23" s="1"/>
  <c r="H1101" i="23"/>
  <c r="D1599" i="23"/>
  <c r="H1205" i="23"/>
  <c r="D806" i="23"/>
  <c r="H806" i="23" s="1"/>
  <c r="H809" i="23"/>
  <c r="H1555" i="23" s="1"/>
  <c r="D1586" i="23"/>
  <c r="D1547" i="23"/>
  <c r="H133" i="23"/>
  <c r="H986" i="23"/>
  <c r="H413" i="23"/>
  <c r="D1140" i="23"/>
  <c r="H1140" i="23" s="1"/>
  <c r="H1142" i="23"/>
  <c r="D611" i="23"/>
  <c r="H611" i="23" s="1"/>
  <c r="H613" i="23"/>
  <c r="D1206" i="23"/>
  <c r="D131" i="23"/>
  <c r="H131" i="23" s="1"/>
  <c r="F221" i="23"/>
  <c r="F1549" i="23" s="1"/>
  <c r="E32" i="4"/>
  <c r="D808" i="4"/>
  <c r="C836" i="4"/>
  <c r="D816" i="4"/>
  <c r="F653" i="23"/>
  <c r="D749" i="23"/>
  <c r="H749" i="23" s="1"/>
  <c r="D1554" i="23"/>
  <c r="D1600" i="23"/>
  <c r="D1258" i="23"/>
  <c r="H1258" i="23" s="1"/>
  <c r="D817" i="4"/>
  <c r="H1591" i="23"/>
  <c r="H1592" i="23"/>
  <c r="C9" i="15"/>
  <c r="B5" i="15"/>
  <c r="B14" i="15"/>
  <c r="C13" i="15"/>
  <c r="B10" i="15"/>
  <c r="B3" i="15"/>
  <c r="B13" i="15"/>
  <c r="B7" i="15"/>
  <c r="C11" i="15"/>
  <c r="C8" i="15"/>
  <c r="C10" i="15"/>
  <c r="B8" i="15"/>
  <c r="D5" i="15"/>
  <c r="B6" i="15"/>
  <c r="B9" i="15"/>
  <c r="C12" i="15"/>
  <c r="C6" i="15"/>
  <c r="B17" i="15"/>
  <c r="B12" i="15"/>
  <c r="B15" i="15"/>
  <c r="B11" i="15"/>
  <c r="C17" i="15"/>
  <c r="B4" i="15"/>
  <c r="C16" i="15"/>
  <c r="B16" i="15"/>
  <c r="D15" i="15"/>
  <c r="D6" i="15"/>
  <c r="D31" i="23"/>
  <c r="H31" i="23" s="1"/>
  <c r="D1545" i="23"/>
  <c r="H1582" i="23"/>
  <c r="D882" i="23"/>
  <c r="H882" i="23" s="1"/>
  <c r="H1593" i="23"/>
  <c r="D1593" i="23"/>
  <c r="H1589" i="23"/>
  <c r="D1325" i="23"/>
  <c r="H1325" i="23" s="1"/>
  <c r="D1601" i="23"/>
  <c r="D1552" i="23"/>
  <c r="C5" i="15"/>
  <c r="G219" i="23"/>
  <c r="G221" i="23" s="1"/>
  <c r="G1549" i="23" s="1"/>
  <c r="B2" i="15"/>
  <c r="D322" i="23"/>
  <c r="H322" i="23" s="1"/>
  <c r="E218" i="4"/>
  <c r="B818" i="4"/>
  <c r="B835" i="4"/>
  <c r="B836" i="4" s="1"/>
  <c r="C15" i="15"/>
  <c r="D835" i="4"/>
  <c r="D1590" i="23"/>
  <c r="D655" i="23"/>
  <c r="C2" i="15"/>
  <c r="E821" i="4"/>
  <c r="H1599" i="23"/>
  <c r="C4" i="15"/>
  <c r="H1544" i="23"/>
  <c r="F143" i="23"/>
  <c r="D1372" i="23"/>
  <c r="H1372" i="23" s="1"/>
  <c r="D1566" i="23"/>
  <c r="H1547" i="23"/>
  <c r="H1595" i="23"/>
  <c r="E816" i="4"/>
  <c r="B19" i="15"/>
  <c r="D11" i="15"/>
  <c r="E808" i="4"/>
  <c r="D17" i="15"/>
  <c r="D14" i="15"/>
  <c r="D10" i="15"/>
  <c r="D13" i="15"/>
  <c r="D4" i="15"/>
  <c r="D2" i="15"/>
  <c r="D16" i="15"/>
  <c r="D12" i="15"/>
  <c r="D7" i="15"/>
  <c r="C14" i="15"/>
  <c r="C7" i="15"/>
  <c r="H1585" i="23"/>
  <c r="D1585" i="23"/>
  <c r="D146" i="23"/>
  <c r="H146" i="23" s="1"/>
  <c r="G1585" i="23"/>
  <c r="G146" i="23"/>
  <c r="G1548" i="23" s="1"/>
  <c r="D1549" i="23"/>
  <c r="F218" i="23"/>
  <c r="H1602" i="23"/>
  <c r="D1562" i="23"/>
  <c r="F410" i="23"/>
  <c r="F1551" i="23"/>
  <c r="F1567" i="23" s="1"/>
  <c r="F1577" i="23" s="1"/>
  <c r="D1561" i="23"/>
  <c r="D410" i="23"/>
  <c r="D1551" i="23"/>
  <c r="D3" i="15"/>
  <c r="D19" i="15"/>
  <c r="F1603" i="23"/>
  <c r="D1560" i="23"/>
  <c r="D8" i="15"/>
  <c r="D1563" i="23"/>
  <c r="D1559" i="23"/>
  <c r="C3" i="15"/>
  <c r="H1597" i="23"/>
  <c r="G1586" i="23"/>
  <c r="H1596" i="23"/>
  <c r="H1598" i="23"/>
  <c r="D9" i="15"/>
  <c r="H219" i="23" l="1"/>
  <c r="H1586" i="23" s="1"/>
  <c r="H410" i="23"/>
  <c r="D1204" i="23"/>
  <c r="H1204" i="23" s="1"/>
  <c r="H1206" i="23"/>
  <c r="H1563" i="23" s="1"/>
  <c r="H221" i="23"/>
  <c r="D653" i="23"/>
  <c r="H653" i="23" s="1"/>
  <c r="H655" i="23"/>
  <c r="H1554" i="23"/>
  <c r="D1256" i="23"/>
  <c r="H1256" i="23" s="1"/>
  <c r="D1564" i="23"/>
  <c r="H1600" i="23"/>
  <c r="B1" i="15"/>
  <c r="G143" i="23"/>
  <c r="H1545" i="23"/>
  <c r="D1323" i="23"/>
  <c r="H1323" i="23" s="1"/>
  <c r="D1565" i="23"/>
  <c r="D879" i="23"/>
  <c r="H879" i="23" s="1"/>
  <c r="H1556" i="23"/>
  <c r="D1556" i="23"/>
  <c r="H1552" i="23"/>
  <c r="H1601" i="23"/>
  <c r="H1590" i="23"/>
  <c r="E818" i="4"/>
  <c r="E835" i="4" s="1"/>
  <c r="E836" i="4" s="1"/>
  <c r="C1" i="15"/>
  <c r="E12" i="15"/>
  <c r="D323" i="23"/>
  <c r="D1587" i="23"/>
  <c r="D1603" i="23" s="1"/>
  <c r="G218" i="23"/>
  <c r="H218" i="23" s="1"/>
  <c r="D1553" i="23"/>
  <c r="H1551" i="23"/>
  <c r="H1562" i="23"/>
  <c r="F4" i="15"/>
  <c r="E3" i="15"/>
  <c r="H1559" i="23"/>
  <c r="H1560" i="23"/>
  <c r="H1561" i="23"/>
  <c r="G1567" i="23"/>
  <c r="G1577" i="23" s="1"/>
  <c r="F12" i="15"/>
  <c r="E11" i="15"/>
  <c r="E19" i="15"/>
  <c r="E4" i="15"/>
  <c r="E15" i="15"/>
  <c r="E2" i="15"/>
  <c r="F11" i="15"/>
  <c r="E14" i="15"/>
  <c r="F13" i="15"/>
  <c r="E17" i="15"/>
  <c r="F6" i="15"/>
  <c r="E8" i="15"/>
  <c r="E5" i="15"/>
  <c r="F7" i="15"/>
  <c r="F2" i="15"/>
  <c r="E9" i="15"/>
  <c r="F14" i="15"/>
  <c r="F3" i="15"/>
  <c r="F16" i="15"/>
  <c r="E13" i="15"/>
  <c r="F17" i="15"/>
  <c r="E6" i="15"/>
  <c r="E16" i="15"/>
  <c r="E10" i="15"/>
  <c r="F8" i="15"/>
  <c r="E7" i="15"/>
  <c r="H1566" i="23"/>
  <c r="F9" i="15"/>
  <c r="F5" i="15"/>
  <c r="G1603" i="23"/>
  <c r="D143" i="23"/>
  <c r="H143" i="23" s="1"/>
  <c r="D1548" i="23"/>
  <c r="H1548" i="23"/>
  <c r="D1" i="15"/>
  <c r="F10" i="15"/>
  <c r="F15" i="15"/>
  <c r="D321" i="23" l="1"/>
  <c r="H321" i="23" s="1"/>
  <c r="H323" i="23"/>
  <c r="H1564" i="23"/>
  <c r="D18" i="15"/>
  <c r="D20" i="15" s="1"/>
  <c r="C18" i="15"/>
  <c r="C20" i="15" s="1"/>
  <c r="B18" i="15"/>
  <c r="B20" i="15" s="1"/>
  <c r="G1454" i="23"/>
  <c r="H1565" i="23"/>
  <c r="D1550" i="23"/>
  <c r="D1567" i="23" s="1"/>
  <c r="D1577" i="23" s="1"/>
  <c r="H1587" i="23"/>
  <c r="H1553" i="23"/>
  <c r="E1458" i="23"/>
  <c r="E1500" i="23" s="1"/>
  <c r="E1486" i="23"/>
  <c r="E1471" i="23"/>
  <c r="D1507" i="23"/>
  <c r="G1521" i="23"/>
  <c r="E1519" i="23"/>
  <c r="D1469" i="23"/>
  <c r="G1507" i="23"/>
  <c r="F1479" i="23"/>
  <c r="D1512" i="23"/>
  <c r="D1523" i="23"/>
  <c r="E1482" i="23"/>
  <c r="E1526" i="23"/>
  <c r="H1508" i="23"/>
  <c r="G1458" i="23"/>
  <c r="G1500" i="23" s="1"/>
  <c r="G1476" i="23"/>
  <c r="E1480" i="23"/>
  <c r="F1529" i="23"/>
  <c r="G1478" i="23"/>
  <c r="E1509" i="23"/>
  <c r="E1507" i="23"/>
  <c r="D1485" i="23"/>
  <c r="D1527" i="23"/>
  <c r="F1524" i="23"/>
  <c r="F1467" i="23"/>
  <c r="G1475" i="23"/>
  <c r="H1470" i="23"/>
  <c r="D1484" i="23"/>
  <c r="G1474" i="23"/>
  <c r="G1456" i="23"/>
  <c r="G1499" i="23" s="1"/>
  <c r="E1473" i="23"/>
  <c r="F1527" i="23"/>
  <c r="F1474" i="23"/>
  <c r="D1455" i="23"/>
  <c r="D1498" i="23" s="1"/>
  <c r="D1525" i="23"/>
  <c r="F1523" i="23"/>
  <c r="G1524" i="23"/>
  <c r="E1470" i="23"/>
  <c r="D1509" i="23"/>
  <c r="E1512" i="23"/>
  <c r="D1475" i="23"/>
  <c r="F1509" i="23"/>
  <c r="D1526" i="23"/>
  <c r="E1468" i="23"/>
  <c r="H1468" i="23"/>
  <c r="D1478" i="23"/>
  <c r="F1470" i="23"/>
  <c r="G1529" i="23"/>
  <c r="E1513" i="23"/>
  <c r="F1469" i="23"/>
  <c r="G1467" i="23"/>
  <c r="E1469" i="23"/>
  <c r="D1468" i="23"/>
  <c r="F1517" i="23"/>
  <c r="D1458" i="23"/>
  <c r="D1500" i="23" s="1"/>
  <c r="E1524" i="23"/>
  <c r="D1522" i="23"/>
  <c r="H1472" i="23"/>
  <c r="D1481" i="23"/>
  <c r="D1520" i="23"/>
  <c r="F1512" i="23"/>
  <c r="E1514" i="23"/>
  <c r="D1516" i="23"/>
  <c r="F1453" i="23"/>
  <c r="F1477" i="23"/>
  <c r="D1474" i="23"/>
  <c r="F1455" i="23"/>
  <c r="F1498" i="23" s="1"/>
  <c r="F1483" i="23"/>
  <c r="H1453" i="23"/>
  <c r="F1456" i="23"/>
  <c r="F1499" i="23" s="1"/>
  <c r="G1486" i="23"/>
  <c r="G1468" i="23"/>
  <c r="D1470" i="23"/>
  <c r="D1486" i="23"/>
  <c r="G1471" i="23"/>
  <c r="E1455" i="23"/>
  <c r="E1498" i="23" s="1"/>
  <c r="D1518" i="23"/>
  <c r="G1455" i="23"/>
  <c r="G1498" i="23" s="1"/>
  <c r="G1509" i="23"/>
  <c r="F1519" i="23"/>
  <c r="G1520" i="23"/>
  <c r="H1482" i="23"/>
  <c r="E1454" i="23"/>
  <c r="E1481" i="23"/>
  <c r="F1522" i="23"/>
  <c r="E1478" i="23"/>
  <c r="G1525" i="23"/>
  <c r="D1510" i="23"/>
  <c r="E1453" i="23"/>
  <c r="E1475" i="23"/>
  <c r="D1476" i="23"/>
  <c r="F1484" i="23"/>
  <c r="E1508" i="23"/>
  <c r="F1476" i="23"/>
  <c r="D1471" i="23"/>
  <c r="H1485" i="23"/>
  <c r="H1512" i="23"/>
  <c r="H1481" i="23"/>
  <c r="E1456" i="23"/>
  <c r="E1499" i="23" s="1"/>
  <c r="E1510" i="23"/>
  <c r="F1475" i="23"/>
  <c r="E1523" i="23"/>
  <c r="F1471" i="23"/>
  <c r="D1467" i="23"/>
  <c r="F1511" i="23"/>
  <c r="F1513" i="23"/>
  <c r="D1514" i="23"/>
  <c r="G1523" i="23"/>
  <c r="F1482" i="23"/>
  <c r="D1513" i="23"/>
  <c r="H1455" i="23"/>
  <c r="H1528" i="23"/>
  <c r="G1480" i="23"/>
  <c r="E1528" i="23"/>
  <c r="G1451" i="23"/>
  <c r="D1508" i="23"/>
  <c r="G1470" i="23"/>
  <c r="D1480" i="23"/>
  <c r="F1516" i="23"/>
  <c r="D1451" i="23"/>
  <c r="D1519" i="23"/>
  <c r="E1483" i="23"/>
  <c r="G1484" i="23"/>
  <c r="H1471" i="23"/>
  <c r="F1458" i="23"/>
  <c r="F1500" i="23" s="1"/>
  <c r="F1468" i="23"/>
  <c r="D1517" i="23"/>
  <c r="F1515" i="23"/>
  <c r="G1482" i="23"/>
  <c r="F1485" i="23"/>
  <c r="E1474" i="23"/>
  <c r="F1528" i="23"/>
  <c r="E1476" i="23"/>
  <c r="F1481" i="23"/>
  <c r="E1527" i="23"/>
  <c r="H1479" i="23"/>
  <c r="H1484" i="23"/>
  <c r="H1525" i="23"/>
  <c r="G1479" i="23"/>
  <c r="F1480" i="23"/>
  <c r="G1514" i="23"/>
  <c r="E1520" i="23"/>
  <c r="H1458" i="23"/>
  <c r="H1500" i="23" s="1"/>
  <c r="G1512" i="23"/>
  <c r="F1486" i="23"/>
  <c r="E1472" i="23"/>
  <c r="E1484" i="23"/>
  <c r="G1469" i="23"/>
  <c r="F1507" i="23"/>
  <c r="H1517" i="23"/>
  <c r="H1518" i="23"/>
  <c r="H1516" i="23"/>
  <c r="H1477" i="23"/>
  <c r="H1526" i="23"/>
  <c r="H1456" i="23"/>
  <c r="H1499" i="23" s="1"/>
  <c r="H1523" i="23"/>
  <c r="H1524" i="23"/>
  <c r="H1509" i="23"/>
  <c r="H1486" i="23"/>
  <c r="F1478" i="23"/>
  <c r="F1526" i="23"/>
  <c r="G1517" i="23"/>
  <c r="G1473" i="23"/>
  <c r="H1475" i="23"/>
  <c r="F1520" i="23"/>
  <c r="G1481" i="23"/>
  <c r="G1508" i="23"/>
  <c r="F1510" i="23"/>
  <c r="E1518" i="23"/>
  <c r="G1526" i="23"/>
  <c r="H1474" i="23"/>
  <c r="H1529" i="23"/>
  <c r="H1514" i="23"/>
  <c r="H1515" i="23"/>
  <c r="H1483" i="23"/>
  <c r="H1507" i="23"/>
  <c r="H1473" i="23"/>
  <c r="F1508" i="23"/>
  <c r="G1485" i="23"/>
  <c r="E1467" i="23"/>
  <c r="D1472" i="23"/>
  <c r="D1521" i="23"/>
  <c r="H1469" i="23"/>
  <c r="D1482" i="23"/>
  <c r="D1477" i="23"/>
  <c r="E1477" i="23"/>
  <c r="E1517" i="23"/>
  <c r="D1453" i="23"/>
  <c r="G1513" i="23"/>
  <c r="H1527" i="23"/>
  <c r="H1478" i="23"/>
  <c r="H1521" i="23"/>
  <c r="H1480" i="23"/>
  <c r="E1516" i="23"/>
  <c r="E1522" i="23"/>
  <c r="G1453" i="23"/>
  <c r="D1479" i="23"/>
  <c r="E1511" i="23"/>
  <c r="F1451" i="23"/>
  <c r="E1515" i="23"/>
  <c r="G1519" i="23"/>
  <c r="F1473" i="23"/>
  <c r="G1472" i="23"/>
  <c r="F1525" i="23"/>
  <c r="H1520" i="23"/>
  <c r="H1451" i="23"/>
  <c r="H1519" i="23"/>
  <c r="H1513" i="23"/>
  <c r="H1510" i="23"/>
  <c r="H1476" i="23"/>
  <c r="H1522" i="23"/>
  <c r="H1511" i="23"/>
  <c r="E1479" i="23"/>
  <c r="G1527" i="23"/>
  <c r="G1483" i="23"/>
  <c r="E1451" i="23"/>
  <c r="H1467" i="23"/>
  <c r="G1511" i="23"/>
  <c r="G1528" i="23"/>
  <c r="G1515" i="23"/>
  <c r="G1522" i="23"/>
  <c r="D1528" i="23"/>
  <c r="G1518" i="23"/>
  <c r="D1456" i="23"/>
  <c r="D1499" i="23" s="1"/>
  <c r="D1515" i="23"/>
  <c r="E1529" i="23"/>
  <c r="E1485" i="23"/>
  <c r="E1521" i="23"/>
  <c r="D1483" i="23"/>
  <c r="D1454" i="23"/>
  <c r="G1477" i="23"/>
  <c r="F1521" i="23"/>
  <c r="D1511" i="23"/>
  <c r="D1524" i="23"/>
  <c r="F1472" i="23"/>
  <c r="G1516" i="23"/>
  <c r="F1518" i="23"/>
  <c r="G1510" i="23"/>
  <c r="D1473" i="23"/>
  <c r="E1525" i="23"/>
  <c r="F1514" i="23"/>
  <c r="D1529" i="23"/>
  <c r="H1549" i="23"/>
  <c r="F1" i="15"/>
  <c r="E1" i="15"/>
  <c r="F1454" i="23"/>
  <c r="H1452" i="23" l="1"/>
  <c r="G1452" i="23"/>
  <c r="D1452" i="23"/>
  <c r="H1498" i="23"/>
  <c r="H1461" i="23"/>
  <c r="F1452" i="23"/>
  <c r="E18" i="15"/>
  <c r="E20" i="15" s="1"/>
  <c r="F18" i="15"/>
  <c r="F20" i="15" s="1"/>
  <c r="H1487" i="23"/>
  <c r="H1497" i="23" s="1"/>
  <c r="H1502" i="23" s="1"/>
  <c r="H1503" i="23" s="1"/>
  <c r="H1603" i="23"/>
  <c r="G19" i="15"/>
  <c r="G9" i="15"/>
  <c r="G2" i="15"/>
  <c r="G13" i="15"/>
  <c r="G10" i="15"/>
  <c r="G12" i="15"/>
  <c r="G17" i="15"/>
  <c r="G6" i="15"/>
  <c r="G14" i="15"/>
  <c r="G3" i="15"/>
  <c r="G8" i="15"/>
  <c r="G16" i="15"/>
  <c r="G7" i="15"/>
  <c r="G4" i="15"/>
  <c r="G11" i="15"/>
  <c r="G5" i="15"/>
  <c r="G15" i="15"/>
  <c r="H1550" i="23"/>
  <c r="E1452" i="23"/>
  <c r="F1487" i="23"/>
  <c r="F1497" i="23" s="1"/>
  <c r="F1502" i="23" s="1"/>
  <c r="F1503" i="23" s="1"/>
  <c r="E1530" i="23"/>
  <c r="E1541" i="23" s="1"/>
  <c r="E1542" i="23" s="1"/>
  <c r="E1487" i="23"/>
  <c r="E1497" i="23" s="1"/>
  <c r="E1502" i="23" s="1"/>
  <c r="E1503" i="23" s="1"/>
  <c r="F1530" i="23"/>
  <c r="F1541" i="23" s="1"/>
  <c r="F1542" i="23" s="1"/>
  <c r="G1487" i="23"/>
  <c r="G1497" i="23" s="1"/>
  <c r="G1502" i="23" s="1"/>
  <c r="G1503" i="23" s="1"/>
  <c r="G1530" i="23"/>
  <c r="G1541" i="23" s="1"/>
  <c r="G1542" i="23" s="1"/>
  <c r="D1530" i="23"/>
  <c r="D1541" i="23" s="1"/>
  <c r="D1542" i="23" s="1"/>
  <c r="H1454" i="23"/>
  <c r="H1530" i="23"/>
  <c r="H1541" i="23" s="1"/>
  <c r="H1542" i="23" s="1"/>
  <c r="D1487" i="23"/>
  <c r="D1497" i="23" s="1"/>
  <c r="D1502" i="23" s="1"/>
  <c r="D1503" i="23" s="1"/>
  <c r="H1567" i="23" l="1"/>
  <c r="G1" i="15"/>
  <c r="G18" i="15" l="1"/>
  <c r="G20" i="15" s="1"/>
  <c r="H1577" i="23"/>
</calcChain>
</file>

<file path=xl/sharedStrings.xml><?xml version="1.0" encoding="utf-8"?>
<sst xmlns="http://schemas.openxmlformats.org/spreadsheetml/2006/main" count="3067" uniqueCount="1087">
  <si>
    <t>botaanikaaia piletitulu</t>
  </si>
  <si>
    <t>muud botaanikaaia tasulised teenused</t>
  </si>
  <si>
    <t>14. Linnaplaneerimise Amet</t>
  </si>
  <si>
    <t>15. Haabersti Linnaosa Valitsuse haldusala</t>
  </si>
  <si>
    <t>15.1. Haabersti Linnaosa Valitsus</t>
  </si>
  <si>
    <t>eluruumide haldamistulu</t>
  </si>
  <si>
    <t>kliendi osalustasu koduteenuste osutamisel</t>
  </si>
  <si>
    <t>linnarajatiste reklaamitulu</t>
  </si>
  <si>
    <t>15.2. Haabersti Vaba Aja Keskus</t>
  </si>
  <si>
    <t>15.3. Haabersti Sotsiaalkeskus</t>
  </si>
  <si>
    <t>huviringi osalustasu</t>
  </si>
  <si>
    <t>* Eelarve täitmisel on linnavalitsusel õigus muuta summade jaotust ülelinnaliste kultuuriürituste üldsumma piires.</t>
  </si>
  <si>
    <t>Projekt "Tallinna Raamat"</t>
  </si>
  <si>
    <t>Piirkondlikud sotsiaalhoolekande projektid</t>
  </si>
  <si>
    <t>allahinnatavate nõuete reserv</t>
  </si>
  <si>
    <t>toetused riigilt ja muudelt institutsioonidelt</t>
  </si>
  <si>
    <t>TOETUSED</t>
  </si>
  <si>
    <t>investeeringuteks</t>
  </si>
  <si>
    <t>Välisrahastus kokku</t>
  </si>
  <si>
    <t>Kommunaalamet</t>
  </si>
  <si>
    <r>
      <t xml:space="preserve">sh </t>
    </r>
    <r>
      <rPr>
        <u/>
        <sz val="10"/>
        <rFont val="Arial"/>
        <family val="2"/>
        <charset val="186"/>
      </rPr>
      <t>tegevuskuludeks</t>
    </r>
  </si>
  <si>
    <t>Vene Kultuurikeskusele eesti keele süvaõppe jätkamiseks venekeelsete koolide ja lasteaedade pedagoogidele</t>
  </si>
  <si>
    <t>Sunniraha</t>
  </si>
  <si>
    <t>Muud erakorralised tulud</t>
  </si>
  <si>
    <t>Müüdud vara jääkmaksumus</t>
  </si>
  <si>
    <t>sh teede ja tänavate korrashoiuks</t>
  </si>
  <si>
    <t>Tallinna Keskraamatukogule teavikute soetamiseks</t>
  </si>
  <si>
    <t>Linnaosa valitsuse reservfond</t>
  </si>
  <si>
    <t>Mustamäe Linnaosa Valitsuse haldusala</t>
  </si>
  <si>
    <t>Sotsiaalabi osutamine juhtumikorralduse põhimõttel</t>
  </si>
  <si>
    <t>Nõmme Linnaosa Valitsuse haldusala</t>
  </si>
  <si>
    <t>Pirita Linnaosa Valitsuse haldusala</t>
  </si>
  <si>
    <t>Põhja-Tallinna Valitsuse haldusala</t>
  </si>
  <si>
    <t>Sotsiaaltoetused</t>
  </si>
  <si>
    <t>Linna üldkulud</t>
  </si>
  <si>
    <t>Linna rahahaldusega seotud finantskulud (a)</t>
  </si>
  <si>
    <t>linnavalitsuse reservfond</t>
  </si>
  <si>
    <t>kohtuvaidluste ja muude õiguslike vaidlustega seotud nõuete reserv</t>
  </si>
  <si>
    <t>linna vara ja kohustustega seonduvate toimingute reserv</t>
  </si>
  <si>
    <t>noortekeskuse muud tasulised teenused</t>
  </si>
  <si>
    <t>jäätmeveo teenustasu</t>
  </si>
  <si>
    <t>laste toitlustamine päevakeskustes</t>
  </si>
  <si>
    <t>Linnavolikogu Kantselei</t>
  </si>
  <si>
    <t>liuvälja piletitulu</t>
  </si>
  <si>
    <t xml:space="preserve">Linnavolikogu </t>
  </si>
  <si>
    <t>Visioonikonverents</t>
  </si>
  <si>
    <t>Ravikindlustusega hõlmamata isikute ravikulud (a)</t>
  </si>
  <si>
    <t>Liikmemaksud (a)</t>
  </si>
  <si>
    <t>Rahuliku kooselamise programm</t>
  </si>
  <si>
    <t>Kesklinna videovalve</t>
  </si>
  <si>
    <t>Turvalisuse projektid</t>
  </si>
  <si>
    <t>Endiste linnapeade toetus (a)</t>
  </si>
  <si>
    <t>Mittetulundustegevuse toetamine</t>
  </si>
  <si>
    <t>reservid, sh</t>
  </si>
  <si>
    <t>Riigi ja muude institutsioonide toetuste arvelt tehtavad kulud (a; ü)</t>
  </si>
  <si>
    <t>toetus korteriühistutele energiamärgise taotlemiseks (a)</t>
  </si>
  <si>
    <t>heakorrakuu</t>
  </si>
  <si>
    <t>grafiti eemaldamine</t>
  </si>
  <si>
    <t>Tallinna Õpetajate Maja</t>
  </si>
  <si>
    <t>Kultuuriväärtuslike objektide täiendav tähistamine ja tutvustavate tekstide lisamine</t>
  </si>
  <si>
    <t>Hingedepäeva kontsert</t>
  </si>
  <si>
    <t>Jõulukontsert</t>
  </si>
  <si>
    <t>Birgitta festival</t>
  </si>
  <si>
    <t>Talveöö unenägu</t>
  </si>
  <si>
    <t>Toetus SA-le Tallinna Vene Muuseum</t>
  </si>
  <si>
    <t>Tallinna meistrivõistlused</t>
  </si>
  <si>
    <t>Noorsportlaste terviseuuringud</t>
  </si>
  <si>
    <t>Transporditeenused (a)</t>
  </si>
  <si>
    <t>Viipekeeleteenus</t>
  </si>
  <si>
    <t>Isikliku abistaja teenused</t>
  </si>
  <si>
    <t>Töö- ja rakenduskeskuse teenused</t>
  </si>
  <si>
    <t>Nõustamisteenused</t>
  </si>
  <si>
    <t>Eaka inimese perekonda toetavad teenused</t>
  </si>
  <si>
    <t>Psühholoogiline nõustamine</t>
  </si>
  <si>
    <t>Hooldamine perekonnas</t>
  </si>
  <si>
    <t>Sotsiaalselt tundlike sihtgruppide rehabilitatsiooniteenused</t>
  </si>
  <si>
    <t>Kodutute öömaja- ja varjupaigateenused</t>
  </si>
  <si>
    <t>Supiköögiteenused</t>
  </si>
  <si>
    <t>Õigusalane nõustamine</t>
  </si>
  <si>
    <t>Toimetulekut soodustavad teenused</t>
  </si>
  <si>
    <t>Kriisiabi</t>
  </si>
  <si>
    <t>Puuetega inimeste hooldajatoetus (a)</t>
  </si>
  <si>
    <t>Sotsiaalvalve teenus</t>
  </si>
  <si>
    <t>Esmakordselt kooli mineva lapse toetus</t>
  </si>
  <si>
    <t>MTÜ Looja</t>
  </si>
  <si>
    <t>Laste visiiditasust vabastamine</t>
  </si>
  <si>
    <t>Kainestusmaja haldamine</t>
  </si>
  <si>
    <t>ohtlike ja linnapilti risustavate hoonete lammutamine</t>
  </si>
  <si>
    <t>korteriühistute infopunkt</t>
  </si>
  <si>
    <t>korteriühistute toetus (a)</t>
  </si>
  <si>
    <t>Ettevõtluskeskkonna turundus</t>
  </si>
  <si>
    <t>Tööhõive tagamine</t>
  </si>
  <si>
    <t>Tootegrupp: tarbija- ja hinnapoliitika</t>
  </si>
  <si>
    <t>Tarbijakaitse</t>
  </si>
  <si>
    <t>uute töökohtade loomise toetus</t>
  </si>
  <si>
    <t>klastrite arendamise toetus</t>
  </si>
  <si>
    <t>Sihtotstarbeline toetus sotsiaalsete töökohtade loomiseks</t>
  </si>
  <si>
    <t>Toetus SA-le Tallinna Lauluväljak</t>
  </si>
  <si>
    <t>Toetus SA-le Tallinna Televisioon</t>
  </si>
  <si>
    <t>Toetus MTÜ-le Eesti Konverentsibüroo</t>
  </si>
  <si>
    <t>Ühistranspordi uuringud ja projektid</t>
  </si>
  <si>
    <t>muud uuringud ja projektid</t>
  </si>
  <si>
    <t>Teeregister</t>
  </si>
  <si>
    <t>tulekustutusvee tasud ja tuletõrjehüdrantide hoolduskulud</t>
  </si>
  <si>
    <t>Tallinna ühisveevärgi ja -kanalisatsiooni arendamise kava</t>
  </si>
  <si>
    <t>jalgrattaparklad</t>
  </si>
  <si>
    <t>Tootegrupp: kalmistud</t>
  </si>
  <si>
    <t>Tootegrupp: jäätmemajandus</t>
  </si>
  <si>
    <t>lastemänguväljakute hooldus</t>
  </si>
  <si>
    <t>Keskkonnaprogrammid (ü)</t>
  </si>
  <si>
    <t>Õppekava toetav loodusõpe Tallinna Botaanikaaias</t>
  </si>
  <si>
    <t>16. Tallinna Kesklinna Valitsuse haldusala</t>
  </si>
  <si>
    <t>16.1. Tallinna Kesklinna Valitsus</t>
  </si>
  <si>
    <t>16.2. Kesklinna Sotsiaalkeskus</t>
  </si>
  <si>
    <t>17. Kristiine Linnaosa Valitsuse haldusala</t>
  </si>
  <si>
    <t>17.1. Kristiine Linnaosa Valitsus</t>
  </si>
  <si>
    <t>muu reklaamitulu</t>
  </si>
  <si>
    <t>18. Lasnamäe Linnaosa Valitsuse haldusala</t>
  </si>
  <si>
    <t>18.1. Lasnamäe Linnaosa Valitsus</t>
  </si>
  <si>
    <t>18.2. Lasnamäe Spordikompleks</t>
  </si>
  <si>
    <t>18.3. Kultuurikeskus Lindakivi</t>
  </si>
  <si>
    <t>18.4. Lasnamäe Sotsiaalkeskus</t>
  </si>
  <si>
    <t>19. Mustamäe Linnaosa Valitsuse haldusala</t>
  </si>
  <si>
    <t>19.1. Mustamäe Linnaosa Valitsus</t>
  </si>
  <si>
    <t>19.2. Kultuurikeskus Kaja</t>
  </si>
  <si>
    <t>hoolekandeasutuse ruumide kasutamine üritusteks</t>
  </si>
  <si>
    <t>20. Nõmme Linnaosa Valitsuse haldusala</t>
  </si>
  <si>
    <t>20.1. Nõmme Linnaosa Valitsus</t>
  </si>
  <si>
    <t>muuseumi piletitulu</t>
  </si>
  <si>
    <t>muuseumi muu teenus</t>
  </si>
  <si>
    <t>20.2. Nõmme Kultuurikeskus</t>
  </si>
  <si>
    <t>koduteenuste tasu</t>
  </si>
  <si>
    <t>21. Pirita Linnaosa Valitsuse haldusala</t>
  </si>
  <si>
    <t>21.1. Pirita Linnaosa Valitsus</t>
  </si>
  <si>
    <t>21.2. Pirita Vaba Aja Keskus</t>
  </si>
  <si>
    <t>muud päevakeskuse teenused</t>
  </si>
  <si>
    <t>22. Põhja-Tallinna Valitsuse haldusala</t>
  </si>
  <si>
    <t>22.1. Põhja-Tallinna Valitsus</t>
  </si>
  <si>
    <t>22.2. Põhja-Tallinna Sotsiaalkeskus</t>
  </si>
  <si>
    <t>22.3. Paljassaare Sotsiaalmaja</t>
  </si>
  <si>
    <t>22.4. Salme Kultuurikeskus</t>
  </si>
  <si>
    <t>KOKKU OMATULUD</t>
  </si>
  <si>
    <t>Tulud majandustegevusest</t>
  </si>
  <si>
    <t>Võlalt arvestatud intressitulu</t>
  </si>
  <si>
    <t>KOKKU</t>
  </si>
  <si>
    <t>€</t>
  </si>
  <si>
    <t>Riiklikud maksud</t>
  </si>
  <si>
    <t>Kohalikud maksud</t>
  </si>
  <si>
    <t>Lõivud</t>
  </si>
  <si>
    <t>Muud tulud</t>
  </si>
  <si>
    <t>Finantstulu</t>
  </si>
  <si>
    <t>Vara müügi kulud</t>
  </si>
  <si>
    <t>Muud tulud varalt</t>
  </si>
  <si>
    <t>Dividendid</t>
  </si>
  <si>
    <t>Toetused riigilt ja muudelt institutsioonidelt</t>
  </si>
  <si>
    <t>MUUTUS MUUDES KOHUSTUSTES KOKKU</t>
  </si>
  <si>
    <t>Linnakassa</t>
  </si>
  <si>
    <t>Üksikisiku tulumaks</t>
  </si>
  <si>
    <t>Maamaks</t>
  </si>
  <si>
    <t>Reklaamimaks</t>
  </si>
  <si>
    <t>Parkimistasu</t>
  </si>
  <si>
    <t>Trahvid</t>
  </si>
  <si>
    <t>Tulu finantsvara investeerimisest</t>
  </si>
  <si>
    <t>Kasum vara müügist</t>
  </si>
  <si>
    <t>Toetused</t>
  </si>
  <si>
    <t>välisrahastus</t>
  </si>
  <si>
    <t>LINNAKASSA TULUD</t>
  </si>
  <si>
    <t>Ettevõtlusamet</t>
  </si>
  <si>
    <t>Transpordiamet</t>
  </si>
  <si>
    <t>Linnaarhiiv</t>
  </si>
  <si>
    <t>Linnaplaneerimise Amet</t>
  </si>
  <si>
    <t>Hoonestusõiguse tasu</t>
  </si>
  <si>
    <t>Linnavaraamet</t>
  </si>
  <si>
    <t>Kasutusõiguse tasu</t>
  </si>
  <si>
    <t>Keskkonnaamet</t>
  </si>
  <si>
    <t>Munitsipaalpolitsei Amet</t>
  </si>
  <si>
    <t>Sotsiaal- ja Tervishoiuameti haldusala</t>
  </si>
  <si>
    <t>Tulu vara müügist</t>
  </si>
  <si>
    <t>Kultuuriväärtuste Ameti haldusala</t>
  </si>
  <si>
    <t>Võlalt arvestatud tulu</t>
  </si>
  <si>
    <t xml:space="preserve">KULUDE EELARVE </t>
  </si>
  <si>
    <t xml:space="preserve">Linnakantselei </t>
  </si>
  <si>
    <t>Kulud kokku</t>
  </si>
  <si>
    <t xml:space="preserve">Katteallikad </t>
  </si>
  <si>
    <t>sh omatulud</t>
  </si>
  <si>
    <t>linnakassa</t>
  </si>
  <si>
    <t>Muud eelarvepositsioonid</t>
  </si>
  <si>
    <t>sellest töötasu</t>
  </si>
  <si>
    <t xml:space="preserve">Juhtimistugi </t>
  </si>
  <si>
    <t>Tootegrupp: arhiiviteenused</t>
  </si>
  <si>
    <t>Perekonnaseisuamet</t>
  </si>
  <si>
    <t>Tootegrupp: perekonnaseisuteenused</t>
  </si>
  <si>
    <t>Haridusameti haldusala</t>
  </si>
  <si>
    <t>Tootevaldkond: haridus</t>
  </si>
  <si>
    <t>Toode:</t>
  </si>
  <si>
    <t>Tootegrupp: hariduse tugiteenused</t>
  </si>
  <si>
    <t>Lasnamäe Lastekeskus</t>
  </si>
  <si>
    <t>Haridusalased tugiteenused</t>
  </si>
  <si>
    <t>IKT keskkond</t>
  </si>
  <si>
    <t xml:space="preserve">Haridusamet </t>
  </si>
  <si>
    <t>välisrahastuse arvelt</t>
  </si>
  <si>
    <t>ps amortisatsioon</t>
  </si>
  <si>
    <t>Tootevaldkond: kultuur</t>
  </si>
  <si>
    <t>Kultuuriväärtuste Amet</t>
  </si>
  <si>
    <t>Olulisemad üritused:</t>
  </si>
  <si>
    <t>Tallinna päev</t>
  </si>
  <si>
    <t>Taasiseseisvumise aastapäev</t>
  </si>
  <si>
    <t>Spordi- ja Noorsooameti haldusala</t>
  </si>
  <si>
    <t>Tootevaldkond: sport ja vaba aeg</t>
  </si>
  <si>
    <t>Tootegrupp: sportimisvõimaluste tagamine</t>
  </si>
  <si>
    <t>Tootegrupp: sporditegevuse toetamine</t>
  </si>
  <si>
    <t>Tootevaldkond: noorsootöö</t>
  </si>
  <si>
    <t>Tootegrupp: noorsootöö</t>
  </si>
  <si>
    <t>Spordi- ja Noorsooamet</t>
  </si>
  <si>
    <t>Eraspordibaaside toetus</t>
  </si>
  <si>
    <t>Spordiprojektide toetus</t>
  </si>
  <si>
    <t>Noorsootööprogrammid ja -projektid</t>
  </si>
  <si>
    <t>Tootevaldkond: sotsiaalhoolekanne</t>
  </si>
  <si>
    <t>Tootegrupp: puuetega isikute hoolekanne</t>
  </si>
  <si>
    <t>Puudega inimese perekonda toetavad teenused</t>
  </si>
  <si>
    <t>Tootegrupp: eakate hoolekanne</t>
  </si>
  <si>
    <t>Tootegrupp: laste hoolekanne</t>
  </si>
  <si>
    <t xml:space="preserve"> Imiku hoolduspakid (a)</t>
  </si>
  <si>
    <t>Tootegrupp: muude kriisirühmade hoolekanne</t>
  </si>
  <si>
    <t>Vältimatu sotsiaalabi</t>
  </si>
  <si>
    <t>Sotsiaalhoolekanne</t>
  </si>
  <si>
    <t>Sotsiaal- ja Tervishoiuamet</t>
  </si>
  <si>
    <t>Toetused lastele ja peredele (a)</t>
  </si>
  <si>
    <t>Lapsehoiuteenuse hüvitis</t>
  </si>
  <si>
    <t>Puudega lapse toetus</t>
  </si>
  <si>
    <t>Toetused eakatele</t>
  </si>
  <si>
    <t>teenustasu Eesti Postile</t>
  </si>
  <si>
    <t>muu mittetulundustegevuse toetamine</t>
  </si>
  <si>
    <t>Tervishoid</t>
  </si>
  <si>
    <t>Mitmesugused tervishoiukulud</t>
  </si>
  <si>
    <t xml:space="preserve">õendusabi korraldamine </t>
  </si>
  <si>
    <t>Noorte nõustamiskeskuste haldamine</t>
  </si>
  <si>
    <t>Tootevaldkond: linnamajandus</t>
  </si>
  <si>
    <t>Tootegrupp: elamumajandus</t>
  </si>
  <si>
    <t>Elamute majandamine</t>
  </si>
  <si>
    <t>Elamumajanduse muud kulud</t>
  </si>
  <si>
    <t>Loopealse elurajooni üürimaksed</t>
  </si>
  <si>
    <t>Raadiku elurajooni üürimaksed</t>
  </si>
  <si>
    <t>Tootevaldkond: ettevõtluskeskkond</t>
  </si>
  <si>
    <t>Tootegrupp: ettevõtluse arendamine</t>
  </si>
  <si>
    <t>Väikeettevõtlus</t>
  </si>
  <si>
    <t>Tootegrupp: turismi arendamine</t>
  </si>
  <si>
    <t>Konverentsiturism</t>
  </si>
  <si>
    <t>Kultuuriturism</t>
  </si>
  <si>
    <t>Turismiturundus</t>
  </si>
  <si>
    <t>Turismiinfoteenused</t>
  </si>
  <si>
    <t>Turismiinfrastruktuuri ja teenuste kvaliteedi arendus</t>
  </si>
  <si>
    <t>Statistika ja uuringud</t>
  </si>
  <si>
    <t>Ettevõtluse haldus</t>
  </si>
  <si>
    <t>praktikajuhendaja toetus</t>
  </si>
  <si>
    <t>messitoetus</t>
  </si>
  <si>
    <t>Tootevaldkond: linnatransport</t>
  </si>
  <si>
    <t>Tootegrupp: ühistransport</t>
  </si>
  <si>
    <t>Piletimajandus</t>
  </si>
  <si>
    <t>finantskulud (a)</t>
  </si>
  <si>
    <t>Eelarvepositsioon</t>
  </si>
  <si>
    <t>Liiniveo infosüsteemid</t>
  </si>
  <si>
    <t>Tootegrupp: parkimiskorraldus</t>
  </si>
  <si>
    <t>ühistranspordi ootepaviljonide hooldus</t>
  </si>
  <si>
    <t>ühistranspordi peatuste info</t>
  </si>
  <si>
    <t>Muud linnatranspordi kulud</t>
  </si>
  <si>
    <t>sadamate haldus</t>
  </si>
  <si>
    <t>Projekt "Koolibuss"</t>
  </si>
  <si>
    <t>Projekt "Pargi ja reisi"</t>
  </si>
  <si>
    <t>Kommunaalameti haldusala</t>
  </si>
  <si>
    <t>sh linnakassa</t>
  </si>
  <si>
    <t>Teerajatiste korrashoid</t>
  </si>
  <si>
    <t>Teerajatiste puhastamine</t>
  </si>
  <si>
    <t xml:space="preserve">Kommunaalamet </t>
  </si>
  <si>
    <t>Vetelpääste avalikes supelrandades</t>
  </si>
  <si>
    <t>Jalakäijate tunnelite hooldus</t>
  </si>
  <si>
    <t>Keskkonnaameti haldusala</t>
  </si>
  <si>
    <t>Tootevaldkond: heakord</t>
  </si>
  <si>
    <t>Tootegrupp: haljastus</t>
  </si>
  <si>
    <t>Tootevaldkond: muud kommunaalkulud</t>
  </si>
  <si>
    <t xml:space="preserve">Keskkonnaamet </t>
  </si>
  <si>
    <t>Pääsküla prügila monitooring</t>
  </si>
  <si>
    <t>Haabersti Linnaosa Valitsuse haldusala</t>
  </si>
  <si>
    <t>Tootegrupp: toimetulekuraskustes isikute hoolekanne</t>
  </si>
  <si>
    <t>Linnaosa valitsus</t>
  </si>
  <si>
    <t>Muud heakorrakulud</t>
  </si>
  <si>
    <t>Tallinna Kesklinna Valitsuse haldusala</t>
  </si>
  <si>
    <t>Tallinna kinnisvararegister</t>
  </si>
  <si>
    <t>Üksikkorterite majandamine</t>
  </si>
  <si>
    <t>Äriruumide majandamine</t>
  </si>
  <si>
    <t>Kristiine Linnaosa Valitsuse haldusala</t>
  </si>
  <si>
    <t>Koduteenused</t>
  </si>
  <si>
    <t>Lasnamäe Linnaosa Valitsuse haldusala</t>
  </si>
  <si>
    <t>OMATULUD</t>
  </si>
  <si>
    <t>1. Linnavolikogu Kantselei</t>
  </si>
  <si>
    <t>Üür ja rent</t>
  </si>
  <si>
    <t>äriruumide üüritulu</t>
  </si>
  <si>
    <t>kommunaalteenused</t>
  </si>
  <si>
    <t xml:space="preserve">2. Linnakantselei </t>
  </si>
  <si>
    <t>Muu toodete ja teenuste müük</t>
  </si>
  <si>
    <t>finantsteenused</t>
  </si>
  <si>
    <t>muud eespoolnimetamata tulud majandustegevusest</t>
  </si>
  <si>
    <t>3. Linnaarhiiv</t>
  </si>
  <si>
    <t>Tulud tugiteenustest</t>
  </si>
  <si>
    <t>teenused</t>
  </si>
  <si>
    <t>4. Perekonnaseisuamet</t>
  </si>
  <si>
    <t>5. Haridusameti haldusala</t>
  </si>
  <si>
    <t>5.1. Haridusamet</t>
  </si>
  <si>
    <t xml:space="preserve">Tulud haridusalasest tegevusest </t>
  </si>
  <si>
    <t>teistelt kohalikelt omavalitsustelt koolide ja koolieelsete lasteasutuste tegevuskulude katteks</t>
  </si>
  <si>
    <t>Tulud kultuuri- ja kunstialasest tegevusest</t>
  </si>
  <si>
    <t>Tulud spordi- ja puhkealasest tegevusest</t>
  </si>
  <si>
    <t>muu vara üür ja rent</t>
  </si>
  <si>
    <t>muu tulu majandustegevusest</t>
  </si>
  <si>
    <t>5.2. Koolieelsed lasteasutused</t>
  </si>
  <si>
    <t>koolieelse lasteasutuse toitlustustasu</t>
  </si>
  <si>
    <t>koolieelse lasteasutuse kohatasu</t>
  </si>
  <si>
    <t>haridusasutuse ruumide kasutamine üritusteks</t>
  </si>
  <si>
    <t>5.3. Põhikoolid ja gümnaasiumid</t>
  </si>
  <si>
    <t>koolitoidutasu</t>
  </si>
  <si>
    <t>tehniliste vahendite ja inventari laenutamine</t>
  </si>
  <si>
    <t>muud tasulised teenused</t>
  </si>
  <si>
    <t>noortelaagri teenused</t>
  </si>
  <si>
    <t>piletitulu</t>
  </si>
  <si>
    <t>noortekeskuse ruumide kasutamise teenus</t>
  </si>
  <si>
    <t>õppetasu</t>
  </si>
  <si>
    <t>muusikamaja ruumide kasutamine</t>
  </si>
  <si>
    <t>muusikamaja muud teenused</t>
  </si>
  <si>
    <t>6. Kultuuriväärtuste Ameti haldusala</t>
  </si>
  <si>
    <t>6.1. Kultuuriväärtuste Amet</t>
  </si>
  <si>
    <t>müügitulu</t>
  </si>
  <si>
    <t>6.2. Tallinna Keskraamatukogu</t>
  </si>
  <si>
    <t>kultuuriasutuse ruumide kasutamine üritusteks</t>
  </si>
  <si>
    <t>Eespool nimetamata muud tulud</t>
  </si>
  <si>
    <t>6.3. Tallinna Pelgulinna Rahvamaja</t>
  </si>
  <si>
    <t>ringitasu</t>
  </si>
  <si>
    <t>kultuuriasutuse muu teenus</t>
  </si>
  <si>
    <t>Õiguste müük</t>
  </si>
  <si>
    <t>tulu parkimisest</t>
  </si>
  <si>
    <t>reklaamitulu</t>
  </si>
  <si>
    <t>muu müügitulu</t>
  </si>
  <si>
    <t>ruumide kasutamine üritusteks</t>
  </si>
  <si>
    <t>Elamu- ja kommunaaltegevuse tulud</t>
  </si>
  <si>
    <t>eluruumide üüritulu</t>
  </si>
  <si>
    <t>8. Sotsiaal- ja Tervishoiuameti haldusala</t>
  </si>
  <si>
    <t>8.1. Sotsiaal- ja Tervishoiuamet</t>
  </si>
  <si>
    <t>Tulud muudelt majandusaladelt</t>
  </si>
  <si>
    <t>8.2. Päevakeskus Käo</t>
  </si>
  <si>
    <t>Tulud sotsiaalabialasest tegevusest</t>
  </si>
  <si>
    <t>hooldustasu</t>
  </si>
  <si>
    <t>toitlustustasu</t>
  </si>
  <si>
    <t>õppekulude tasu</t>
  </si>
  <si>
    <t>8.3. Tallinna Lastekodu</t>
  </si>
  <si>
    <t>8.4. Vaimse Tervise Keskus</t>
  </si>
  <si>
    <t>8.5. Iru Hooldekodu</t>
  </si>
  <si>
    <t>8.6. Tallinna Tugikeskus Juks</t>
  </si>
  <si>
    <t>majutusteenus</t>
  </si>
  <si>
    <t>8.7. Tallinna Sotsiaaltöö Keskus</t>
  </si>
  <si>
    <t>pesupesemisteenus</t>
  </si>
  <si>
    <t>8.8. Tallinna Kiirabi</t>
  </si>
  <si>
    <t>Tulud tervishoiualasest tegevusest</t>
  </si>
  <si>
    <t>9. Linnavaraamet</t>
  </si>
  <si>
    <t>sotsiaalmajutusüksuse kohatasu</t>
  </si>
  <si>
    <t>sotsiaalmajutusüksuse saunateenus</t>
  </si>
  <si>
    <t>10.1. Ettevõtlusamet</t>
  </si>
  <si>
    <t>tulu kaubandustegevusest</t>
  </si>
  <si>
    <t>10.2. Tallinna Turud</t>
  </si>
  <si>
    <t>tulu müügipiletite realiseerimisest</t>
  </si>
  <si>
    <t>11. Transpordiamet</t>
  </si>
  <si>
    <t>Tulud transporditeenustest</t>
  </si>
  <si>
    <t>tulu koolibussi teenuse osutamisest teistele valdadele</t>
  </si>
  <si>
    <t>veetranspordi piletitulu</t>
  </si>
  <si>
    <t>12. Kommunaalameti haldusala</t>
  </si>
  <si>
    <t>12.1. Kommunaalamet</t>
  </si>
  <si>
    <t>veoseloa tasu</t>
  </si>
  <si>
    <t>kindlustushüvitised</t>
  </si>
  <si>
    <t>12.2. Kadrioru Park</t>
  </si>
  <si>
    <t>haljastusteenused</t>
  </si>
  <si>
    <t>13. Keskkonnaameti haldusala</t>
  </si>
  <si>
    <t>13.1. Keskkonnaamet</t>
  </si>
  <si>
    <t>Tulu keskkonnaalasest tegevusest</t>
  </si>
  <si>
    <t>tasu jäätmete vastuvõtmise eest jäätmejaamas</t>
  </si>
  <si>
    <t>13.2. Tallinna Kalmistud</t>
  </si>
  <si>
    <t>kalmistuteenused</t>
  </si>
  <si>
    <t>13.3. Tallinna Botaanikaaed</t>
  </si>
  <si>
    <t>ametikooli õppetasu</t>
  </si>
  <si>
    <t>hoolekande muud teenused</t>
  </si>
  <si>
    <t>20.4. Nõmme Sotsiaalmaja</t>
  </si>
  <si>
    <t>Võrdlusuuringud linnade veekaitses - CITYWATER</t>
  </si>
  <si>
    <t>Toetus SA-le Tallinna Kultuurikatel</t>
  </si>
  <si>
    <t>Kristjan Raua kunstipreemia</t>
  </si>
  <si>
    <t>Rahvusvaheline Rahvuskultuuride Ühenduste Liit Lüüra</t>
  </si>
  <si>
    <t>Haridusselts "Vene Kultuuri Rahvaülikool"</t>
  </si>
  <si>
    <t>Vana Baskini Teater OÜ</t>
  </si>
  <si>
    <t>Tallinna teeneka kultuuritegelase preemia</t>
  </si>
  <si>
    <t>Sünnitoetus</t>
  </si>
  <si>
    <t>Ellusuunamise toetus</t>
  </si>
  <si>
    <t>Kopli Arenduskeskus</t>
  </si>
  <si>
    <t>Välisrahastusega projekt "Võrdlusuuringud linnade veekaitses - CITYWATER" (ü)</t>
  </si>
  <si>
    <t>Valimised</t>
  </si>
  <si>
    <t>Rahvaküsitlused</t>
  </si>
  <si>
    <t>Tallinna linna stipendium (Tallinna Ülikool)</t>
  </si>
  <si>
    <t>Toetus MTÜ-le AIDSi Tugikeskus uimastiennetustegevuseks</t>
  </si>
  <si>
    <t>Tegevustoetus Sotsiaalrehabilitatsiooni Keskusele Loksa</t>
  </si>
  <si>
    <t>Ülelinnalised kultuuriüritused ja -projektid*</t>
  </si>
  <si>
    <t>sellest Tallinna Grand Prix ja publikupreemia</t>
  </si>
  <si>
    <t>Tallinna linna stipendium (Estonian Business School)</t>
  </si>
  <si>
    <t>Spordiklubi LiVal Sport</t>
  </si>
  <si>
    <t>Tallinna Merepäevad</t>
  </si>
  <si>
    <t>Hiina uusaasta</t>
  </si>
  <si>
    <t>Uimastiennetustegevus SA-s Tallinna Lastehaigla</t>
  </si>
  <si>
    <t>elamumajandusprojektide toetamine</t>
  </si>
  <si>
    <t>Eluruumi kohandamise hüvitis puudega inimesele (ü)</t>
  </si>
  <si>
    <t>Tallinna Energiaagentuur</t>
  </si>
  <si>
    <t>7.1. Tallinna Spordi- ja Noorsooamet</t>
  </si>
  <si>
    <t>7.2. Pirita Spordikeskus</t>
  </si>
  <si>
    <t>7.3. Tallinna Spordihall</t>
  </si>
  <si>
    <t>7.4. Kadrioru Staadion</t>
  </si>
  <si>
    <t>Pensionilisa*</t>
  </si>
  <si>
    <t>toetus Tallinna Vee-ettevõtjate Järelevalve SA-le</t>
  </si>
  <si>
    <t>10. Ettevõtlusameti haldusala</t>
  </si>
  <si>
    <t>Ettevõtlusameti haldusala</t>
  </si>
  <si>
    <t>Liinivedu*</t>
  </si>
  <si>
    <t>* Kulude täpsema jaotuse kinnitab linnavalitsus.</t>
  </si>
  <si>
    <t>Kultuuriprojektide ja -organisatsioonide toetamine</t>
  </si>
  <si>
    <t>17.2. Kristiine Sotsiaalmaja</t>
  </si>
  <si>
    <t>SA ORTHODOX SINGERS</t>
  </si>
  <si>
    <t>teistelt kohalikelt omavalitsustelt huvikoolide tegevuskulude katteks</t>
  </si>
  <si>
    <t>huvikooli õppetasu</t>
  </si>
  <si>
    <t>väikeloomade krematooriumiteenus</t>
  </si>
  <si>
    <t>väikeloomade transport</t>
  </si>
  <si>
    <t>18.5. Lasnamäe Noortekeskus</t>
  </si>
  <si>
    <t>sauna piletitulu</t>
  </si>
  <si>
    <t>6.4. Tallinna Linnamuuseum</t>
  </si>
  <si>
    <t>6.5. Tallinna Loomaaed</t>
  </si>
  <si>
    <t>6.6. Tallinna Linnateater</t>
  </si>
  <si>
    <t>6.7. Tallinna Filharmoonia</t>
  </si>
  <si>
    <t>6.8. Tallinna Rahvaülikool</t>
  </si>
  <si>
    <t>6.9. Vene Kultuurikeskus</t>
  </si>
  <si>
    <t>Tallinna eakate kodujälgimisprojekt SmartCare</t>
  </si>
  <si>
    <t>Lapsevanemate kaasamine koolist väljalangemise ennetamiseks - PREVENT</t>
  </si>
  <si>
    <t>Kooli õppeprotsessi arendamine koostöös kogukonnaga - ICE</t>
  </si>
  <si>
    <t>IT teenused</t>
  </si>
  <si>
    <t>Avalikud suhted</t>
  </si>
  <si>
    <t>Haldusteenused</t>
  </si>
  <si>
    <t>laagriprojektid</t>
  </si>
  <si>
    <t>noorteühingud</t>
  </si>
  <si>
    <t>arendustegevus</t>
  </si>
  <si>
    <t>Eakate päevakeskuste haldamine</t>
  </si>
  <si>
    <t>Sotsiaalmajutusüksused</t>
  </si>
  <si>
    <t>Tööharjutuskeskused</t>
  </si>
  <si>
    <r>
      <t xml:space="preserve">Muud sotsiaaltoetused, </t>
    </r>
    <r>
      <rPr>
        <i/>
        <u/>
        <sz val="10"/>
        <rFont val="Arial"/>
        <family val="2"/>
        <charset val="186"/>
      </rPr>
      <t>sh</t>
    </r>
  </si>
  <si>
    <r>
      <t>sh</t>
    </r>
    <r>
      <rPr>
        <sz val="8"/>
        <rFont val="Arial"/>
        <family val="2"/>
        <charset val="186"/>
      </rPr>
      <t xml:space="preserve"> toetus (a)</t>
    </r>
  </si>
  <si>
    <r>
      <t>sh</t>
    </r>
    <r>
      <rPr>
        <sz val="8"/>
        <rFont val="Arial"/>
        <family val="2"/>
        <charset val="186"/>
      </rPr>
      <t xml:space="preserve"> projektid ja programmid</t>
    </r>
  </si>
  <si>
    <t>Tootegrupp: kaubandus</t>
  </si>
  <si>
    <r>
      <t>Väikeettevõtluse toetamine,</t>
    </r>
    <r>
      <rPr>
        <sz val="10"/>
        <rFont val="Arial"/>
        <family val="2"/>
        <charset val="186"/>
      </rPr>
      <t xml:space="preserve"> </t>
    </r>
    <r>
      <rPr>
        <i/>
        <sz val="10"/>
        <rFont val="Arial"/>
        <family val="2"/>
        <charset val="186"/>
      </rPr>
      <t>sh</t>
    </r>
  </si>
  <si>
    <t>Stipendiumid</t>
  </si>
  <si>
    <t>Välisrahastusega projekt "Lapsevanemate kaasamine koolist väljalangemise ennetamiseks - PREVENT" (ü)</t>
  </si>
  <si>
    <t>Välisrahastusega projekt "Kooli õppeprotsessi arendamine koostöös kogukonnaga - ICE" (ü)</t>
  </si>
  <si>
    <t>Muinsus- ja miljööalade kaitse</t>
  </si>
  <si>
    <t>Toetus SA-le Tallinna Tehnika- ja Teaduskeskus</t>
  </si>
  <si>
    <t>Linna kunstikogu haldamine</t>
  </si>
  <si>
    <t>Toetus Revali Raeapteegi Muuseumi Ühingule</t>
  </si>
  <si>
    <t>Finantsjuhtimine (ü)</t>
  </si>
  <si>
    <t>Randade hooldus</t>
  </si>
  <si>
    <r>
      <t xml:space="preserve">sellest </t>
    </r>
    <r>
      <rPr>
        <sz val="8"/>
        <rFont val="Arial"/>
        <family val="2"/>
        <charset val="186"/>
      </rPr>
      <t>Vanalinna päevad</t>
    </r>
  </si>
  <si>
    <t>Saunateenuse korraldamine</t>
  </si>
  <si>
    <t>Rahvarinde muuseum</t>
  </si>
  <si>
    <t xml:space="preserve">Tootegrupp: noorsootöö </t>
  </si>
  <si>
    <t>sellest välisrahastusega projekt "Noore vanema toimetuleku toetamine töötuse ennetamiseks" (ü)</t>
  </si>
  <si>
    <t>Omavalitsusfoorumid ja koostöö arendamine</t>
  </si>
  <si>
    <t>Tallinna Maraton</t>
  </si>
  <si>
    <t>Mustonenfest: Tallinn Tel Aviv</t>
  </si>
  <si>
    <r>
      <t xml:space="preserve">sh </t>
    </r>
    <r>
      <rPr>
        <sz val="8"/>
        <rFont val="Arial"/>
        <family val="2"/>
        <charset val="186"/>
      </rPr>
      <t>eluruumide haldamine</t>
    </r>
  </si>
  <si>
    <t>Toetus Tallinna Linnahalli AS-ile</t>
  </si>
  <si>
    <t>Ühistranspordi infrastruktuuri haldamine</t>
  </si>
  <si>
    <t>sh liikluskorralduse uuringud</t>
  </si>
  <si>
    <t>projekt "Liinivõrgu optimeerimine“ (ü)</t>
  </si>
  <si>
    <t>Haljastute hooldus</t>
  </si>
  <si>
    <t>Vesi ja kanalisatsioon*</t>
  </si>
  <si>
    <t>* Eelarve täitmisel on linnavalitsusel õigus muuta summade jaotust eelarvepositsiooni üldsumma piires.</t>
  </si>
  <si>
    <t>Eraldised Häirekeskusele Tallinna abitelefoni 1345 töö korraldamiseks</t>
  </si>
  <si>
    <t>Välisrahastusega projekt "Baltic Flows – sademevee jälgimine ja juhtimine Läänemere piirkonna valgaladel" (ü)</t>
  </si>
  <si>
    <t>Taaskasutatavate ja ohtlike jäätmete käitlus</t>
  </si>
  <si>
    <t>Geomaatika</t>
  </si>
  <si>
    <r>
      <t xml:space="preserve">sh </t>
    </r>
    <r>
      <rPr>
        <sz val="8"/>
        <rFont val="Arial"/>
        <family val="2"/>
        <charset val="186"/>
      </rPr>
      <t>Viru autobussiterminal</t>
    </r>
  </si>
  <si>
    <r>
      <t xml:space="preserve">sh </t>
    </r>
    <r>
      <rPr>
        <sz val="8"/>
        <rFont val="Arial"/>
        <family val="2"/>
        <charset val="186"/>
      </rPr>
      <t>liinivedu laevaga</t>
    </r>
  </si>
  <si>
    <r>
      <t xml:space="preserve">sh </t>
    </r>
    <r>
      <rPr>
        <sz val="8"/>
        <rFont val="Arial"/>
        <family val="2"/>
        <charset val="186"/>
      </rPr>
      <t>sademevee puhastus (a)</t>
    </r>
  </si>
  <si>
    <t>Kultuur</t>
  </si>
  <si>
    <t>Haridus</t>
  </si>
  <si>
    <t>Sport ja vaba aeg</t>
  </si>
  <si>
    <t>Linnamajandus</t>
  </si>
  <si>
    <t>Heakord</t>
  </si>
  <si>
    <t>Teed ja tänavad</t>
  </si>
  <si>
    <t>Linnaplaneerimine</t>
  </si>
  <si>
    <t>Linna tugiteenused</t>
  </si>
  <si>
    <t>Tehnovõrgud</t>
  </si>
  <si>
    <t>Arendustegevus</t>
  </si>
  <si>
    <t>noorsootööprojektid</t>
  </si>
  <si>
    <t>parema noorsootöötaja preemia</t>
  </si>
  <si>
    <t>Personalijuhtimine</t>
  </si>
  <si>
    <t>Tootegrupp: lastehoid ja alusharidus</t>
  </si>
  <si>
    <t>Tootegrupp: põhi- ja üldkeskharidus</t>
  </si>
  <si>
    <t>Tootegrupp: kutseharidus</t>
  </si>
  <si>
    <t>Tootegrupp: huviharidus</t>
  </si>
  <si>
    <t>Tootegrupp: tänavavalgustus</t>
  </si>
  <si>
    <t>Tootegrupp: loomakaitse</t>
  </si>
  <si>
    <t>sellest juhtkoerte toidukulud</t>
  </si>
  <si>
    <t>munitsipaalkauplus</t>
  </si>
  <si>
    <t>Tootegrupp: spetsiifilised matuseteenused</t>
  </si>
  <si>
    <t>toetused</t>
  </si>
  <si>
    <t>Eesti Tänavaspordi Liit</t>
  </si>
  <si>
    <t>Tallinna linna noortevolikogu</t>
  </si>
  <si>
    <t>sh Tšernobõli sotsiaalprogramm</t>
  </si>
  <si>
    <t>korteriühistute toetus "Roheline õu"</t>
  </si>
  <si>
    <t>* Eelarve täitmisel on linnavalitsusel õigus muuta linnavalitsuse reservfondi ja reservide jaotust ettenähtud üldsumma piires.</t>
  </si>
  <si>
    <t>Juriidilised teenused ja ühekordsed kohtuvaidlused</t>
  </si>
  <si>
    <t>5.4. Tallinna Kopli Ametikool</t>
  </si>
  <si>
    <t>5.5. Lasnamäe Lastekeskus</t>
  </si>
  <si>
    <t>5.7. Tallinna Õpetajate Maja</t>
  </si>
  <si>
    <t>välisrahastusega projekt "Noore vanema toimetuleku toetamine lapsehoiu pakkumise läbi" (ü)</t>
  </si>
  <si>
    <t>Reservfond*, sh</t>
  </si>
  <si>
    <t>5.6. Huvikoolid</t>
  </si>
  <si>
    <r>
      <t>Spordihallid ja -väljakud</t>
    </r>
    <r>
      <rPr>
        <sz val="8"/>
        <rFont val="Arial"/>
        <family val="2"/>
        <charset val="186"/>
      </rPr>
      <t xml:space="preserve"> (Tallinna Spordihall)</t>
    </r>
  </si>
  <si>
    <r>
      <t>Ujulad</t>
    </r>
    <r>
      <rPr>
        <sz val="8"/>
        <rFont val="Arial"/>
        <family val="2"/>
        <charset val="186"/>
      </rPr>
      <t xml:space="preserve"> (Tallinna Spordihall)</t>
    </r>
  </si>
  <si>
    <r>
      <t>Staadionid</t>
    </r>
    <r>
      <rPr>
        <sz val="8"/>
        <rFont val="Arial"/>
        <family val="2"/>
        <charset val="186"/>
      </rPr>
      <t xml:space="preserve"> (Kadrioru Staadion, Spordi- ja Noorsooamet (Snelli Staadion), Nõmme Spordikeskus)</t>
    </r>
  </si>
  <si>
    <r>
      <t>Päevategevus ja -hoid</t>
    </r>
    <r>
      <rPr>
        <sz val="8"/>
        <rFont val="Arial"/>
        <family val="2"/>
        <charset val="186"/>
      </rPr>
      <t xml:space="preserve"> (Sotsiaal- ja Tervishoiuamet, Tallinna Tugikeskus Juks, Päevakeskus Käo)</t>
    </r>
  </si>
  <si>
    <r>
      <t>Teenused psüühiliste erivajadustega inimestele</t>
    </r>
    <r>
      <rPr>
        <sz val="8"/>
        <rFont val="Arial"/>
        <family val="2"/>
        <charset val="186"/>
      </rPr>
      <t xml:space="preserve"> (Tallinna Vaimse Tervise Keskus)</t>
    </r>
  </si>
  <si>
    <r>
      <t>Üldhooldekodu teenused</t>
    </r>
    <r>
      <rPr>
        <sz val="8"/>
        <rFont val="Arial"/>
        <family val="2"/>
        <charset val="186"/>
      </rPr>
      <t xml:space="preserve"> (Sotsiaal- ja Tervishoiuamet, Iru Hooldekodu)</t>
    </r>
  </si>
  <si>
    <r>
      <t>Perekeskuse teenused</t>
    </r>
    <r>
      <rPr>
        <sz val="8"/>
        <rFont val="Arial"/>
        <family val="2"/>
        <charset val="186"/>
      </rPr>
      <t xml:space="preserve"> (Tallinna Perekeskus)</t>
    </r>
  </si>
  <si>
    <r>
      <t>Sotsiaalmajutusüksused</t>
    </r>
    <r>
      <rPr>
        <sz val="8"/>
        <rFont val="Arial"/>
        <family val="2"/>
        <charset val="186"/>
      </rPr>
      <t xml:space="preserve"> (Tallinna Sotsiaaltöö Keskus)</t>
    </r>
  </si>
  <si>
    <r>
      <t>Haljastute hooldus</t>
    </r>
    <r>
      <rPr>
        <sz val="8"/>
        <rFont val="Arial"/>
        <family val="2"/>
        <charset val="186"/>
      </rPr>
      <t xml:space="preserve"> (Kadrioru Park)</t>
    </r>
  </si>
  <si>
    <r>
      <t>Kalmistuteenused</t>
    </r>
    <r>
      <rPr>
        <sz val="8"/>
        <rFont val="Arial"/>
        <family val="2"/>
        <charset val="186"/>
      </rPr>
      <t xml:space="preserve"> (Tallinna Kalmistud)</t>
    </r>
  </si>
  <si>
    <r>
      <t>Korraldatud jäätmevedu</t>
    </r>
    <r>
      <rPr>
        <sz val="8"/>
        <rFont val="Arial"/>
        <family val="2"/>
        <charset val="186"/>
      </rPr>
      <t xml:space="preserve"> (Tallinna Jäätmekeskus)</t>
    </r>
  </si>
  <si>
    <r>
      <t>Tootegrupp: botaanikaaed</t>
    </r>
    <r>
      <rPr>
        <sz val="8"/>
        <rFont val="Arial"/>
        <family val="2"/>
        <charset val="186"/>
      </rPr>
      <t xml:space="preserve"> (Tallinna Botaanikaaed)</t>
    </r>
  </si>
  <si>
    <r>
      <t>Päevakeskuse teenused</t>
    </r>
    <r>
      <rPr>
        <sz val="8"/>
        <rFont val="Arial"/>
        <family val="2"/>
        <charset val="186"/>
      </rPr>
      <t xml:space="preserve"> (Haabersti Sotsiaalkeskus)</t>
    </r>
  </si>
  <si>
    <r>
      <t xml:space="preserve">Koduteenused </t>
    </r>
    <r>
      <rPr>
        <sz val="8"/>
        <rFont val="Arial"/>
        <family val="2"/>
        <charset val="186"/>
      </rPr>
      <t>(Haabersti Sotsiaalkeskus)</t>
    </r>
  </si>
  <si>
    <r>
      <t>Päevakeskuse teenused</t>
    </r>
    <r>
      <rPr>
        <sz val="8"/>
        <rFont val="Arial"/>
        <family val="2"/>
        <charset val="186"/>
      </rPr>
      <t xml:space="preserve"> (Kesklinna Sotsiaalkeskus)</t>
    </r>
  </si>
  <si>
    <r>
      <t>Koduteenused</t>
    </r>
    <r>
      <rPr>
        <sz val="8"/>
        <rFont val="Arial"/>
        <family val="2"/>
        <charset val="186"/>
      </rPr>
      <t xml:space="preserve"> (Kesklinna Sotsiaalkeskus)</t>
    </r>
  </si>
  <si>
    <r>
      <t>Päevakeskuse teenused</t>
    </r>
    <r>
      <rPr>
        <sz val="8"/>
        <rFont val="Arial"/>
        <family val="2"/>
        <charset val="186"/>
      </rPr>
      <t xml:space="preserve"> (Kristiine Sotsiaalmaja)</t>
    </r>
  </si>
  <si>
    <r>
      <t>Koduteenused</t>
    </r>
    <r>
      <rPr>
        <sz val="8"/>
        <rFont val="Arial"/>
        <family val="2"/>
        <charset val="186"/>
      </rPr>
      <t xml:space="preserve"> (Kristiine Sotsiaalmaja)</t>
    </r>
  </si>
  <si>
    <r>
      <t>Tootegrupp: kultuuritegevus</t>
    </r>
    <r>
      <rPr>
        <sz val="8"/>
        <rFont val="Arial"/>
        <family val="2"/>
        <charset val="186"/>
      </rPr>
      <t xml:space="preserve"> (Kultuurikeskus Lindakivi)</t>
    </r>
  </si>
  <si>
    <r>
      <t>Noortekeskus</t>
    </r>
    <r>
      <rPr>
        <sz val="8"/>
        <rFont val="Arial"/>
        <family val="2"/>
        <charset val="186"/>
      </rPr>
      <t xml:space="preserve"> (Lasnamäe Noortekeskus)</t>
    </r>
  </si>
  <si>
    <r>
      <t>Spordihooned ja -rajatised</t>
    </r>
    <r>
      <rPr>
        <sz val="8"/>
        <rFont val="Arial"/>
        <family val="2"/>
        <charset val="186"/>
      </rPr>
      <t xml:space="preserve"> (Lasnamäe Spordikompleks)</t>
    </r>
  </si>
  <si>
    <r>
      <t>Päevakeskuse teenused</t>
    </r>
    <r>
      <rPr>
        <sz val="8"/>
        <rFont val="Arial"/>
        <family val="2"/>
        <charset val="186"/>
      </rPr>
      <t xml:space="preserve"> (Lasnamäe Sotsiaalkeskus)</t>
    </r>
  </si>
  <si>
    <r>
      <t>Koduteenused</t>
    </r>
    <r>
      <rPr>
        <sz val="8"/>
        <rFont val="Arial"/>
        <family val="2"/>
        <charset val="186"/>
      </rPr>
      <t xml:space="preserve"> (Lasnamäe Sotsiaalkeskus)</t>
    </r>
  </si>
  <si>
    <r>
      <t>Tootegrupp: kultuuritegevus</t>
    </r>
    <r>
      <rPr>
        <sz val="8"/>
        <rFont val="Arial"/>
        <family val="2"/>
        <charset val="186"/>
      </rPr>
      <t xml:space="preserve"> (Mustamäe Kultuurikeskus "Kaja")</t>
    </r>
  </si>
  <si>
    <r>
      <t>Noortekeskus</t>
    </r>
    <r>
      <rPr>
        <sz val="8"/>
        <rFont val="Arial"/>
        <family val="2"/>
        <charset val="186"/>
      </rPr>
      <t xml:space="preserve"> (Mustamäe Kultuurikeskus "Kaja")</t>
    </r>
  </si>
  <si>
    <r>
      <t>Tootegrupp: kultuuritegevus</t>
    </r>
    <r>
      <rPr>
        <sz val="8"/>
        <rFont val="Arial"/>
        <family val="2"/>
        <charset val="186"/>
      </rPr>
      <t xml:space="preserve"> (Nõmme Kultuurikeskus)</t>
    </r>
  </si>
  <si>
    <r>
      <t>Üldhooldekoduteenused</t>
    </r>
    <r>
      <rPr>
        <sz val="8"/>
        <rFont val="Arial"/>
        <family val="2"/>
        <charset val="186"/>
      </rPr>
      <t xml:space="preserve"> (Nõmme Sotsiaalmaja)</t>
    </r>
  </si>
  <si>
    <r>
      <t>Tootegrupp: kultuuritegevus</t>
    </r>
    <r>
      <rPr>
        <sz val="8"/>
        <rFont val="Arial"/>
        <family val="2"/>
        <charset val="186"/>
      </rPr>
      <t xml:space="preserve"> (Pirita Vaba Aja Keskus)</t>
    </r>
  </si>
  <si>
    <r>
      <t>Noortekeskus</t>
    </r>
    <r>
      <rPr>
        <sz val="8"/>
        <rFont val="Arial"/>
        <family val="2"/>
        <charset val="186"/>
      </rPr>
      <t xml:space="preserve"> (Pirita Vaba Aja Keskus)</t>
    </r>
  </si>
  <si>
    <r>
      <t>Päevakeskuse teenused</t>
    </r>
    <r>
      <rPr>
        <sz val="8"/>
        <rFont val="Arial"/>
        <family val="2"/>
        <charset val="186"/>
      </rPr>
      <t xml:space="preserve"> (Pirita Vaba Aja Keskus)</t>
    </r>
  </si>
  <si>
    <r>
      <t>Tootegrupp: kultuuritegevus</t>
    </r>
    <r>
      <rPr>
        <sz val="8"/>
        <rFont val="Arial"/>
        <family val="2"/>
        <charset val="186"/>
      </rPr>
      <t xml:space="preserve"> (Salme Kultuurikeskus)</t>
    </r>
  </si>
  <si>
    <r>
      <t>sh</t>
    </r>
    <r>
      <rPr>
        <sz val="8"/>
        <rFont val="Arial"/>
        <family val="2"/>
        <charset val="186"/>
      </rPr>
      <t xml:space="preserve"> jäähallid</t>
    </r>
  </si>
  <si>
    <r>
      <t xml:space="preserve">sh </t>
    </r>
    <r>
      <rPr>
        <sz val="8"/>
        <rFont val="Arial"/>
        <family val="2"/>
        <charset val="186"/>
      </rPr>
      <t>Tallinna Spordiselts Kalev</t>
    </r>
  </si>
  <si>
    <t>Välisrahastusega projekt „Tallinna eakate kodujälgimisprojekt SmartCare“ (ü)</t>
  </si>
  <si>
    <r>
      <t>Muud hoolekandeteenused</t>
    </r>
    <r>
      <rPr>
        <sz val="8"/>
        <rFont val="Arial"/>
        <family val="2"/>
        <charset val="186"/>
      </rPr>
      <t xml:space="preserve"> (Tallinna Sotsiaaltöö Keskus)</t>
    </r>
  </si>
  <si>
    <r>
      <t>Lillefestivali korraldamine</t>
    </r>
    <r>
      <rPr>
        <sz val="8"/>
        <rFont val="Arial"/>
        <family val="2"/>
        <charset val="186"/>
      </rPr>
      <t xml:space="preserve"> (Kadrioru Park)</t>
    </r>
  </si>
  <si>
    <r>
      <t>Saunateenuse korraldamine</t>
    </r>
    <r>
      <rPr>
        <sz val="8"/>
        <rFont val="Arial"/>
        <family val="2"/>
        <charset val="186"/>
      </rPr>
      <t xml:space="preserve"> (Raua Saun)</t>
    </r>
  </si>
  <si>
    <t>Teede ja tänavate sulgemise maks</t>
  </si>
  <si>
    <t>Loodusvarade kasutusõiguse tasu</t>
  </si>
  <si>
    <t>Tallinna linna infotehnoloogia stipendium (Eesti Infotehnoloogia Kolledž)</t>
  </si>
  <si>
    <r>
      <t xml:space="preserve">sh </t>
    </r>
    <r>
      <rPr>
        <sz val="8"/>
        <rFont val="Arial"/>
        <family val="2"/>
        <charset val="186"/>
      </rPr>
      <t>Jaan Poska stipendium (Tallinna Tehnikaülikool)</t>
    </r>
  </si>
  <si>
    <t>Tallinna linna Peterburi stipendium (Eesti Kunstiakadeemia)</t>
  </si>
  <si>
    <t>Tallinna linna Anton Uessoni stipendium (Eesti Kunstiakadeemia)</t>
  </si>
  <si>
    <t>ART - Fortius MTÜ (Kuldne Mask Eestis)</t>
  </si>
  <si>
    <r>
      <t xml:space="preserve">sh </t>
    </r>
    <r>
      <rPr>
        <sz val="8"/>
        <rFont val="Arial"/>
        <family val="2"/>
        <charset val="186"/>
      </rPr>
      <t>Tallinna Noorteklubi KODULINN</t>
    </r>
  </si>
  <si>
    <t>toetus Eesti Üürnike Liidule</t>
  </si>
  <si>
    <t>Toetus SA-le Tallinna Arengu- ja Koolituskeskus</t>
  </si>
  <si>
    <r>
      <rPr>
        <i/>
        <sz val="8"/>
        <rFont val="Arial"/>
        <family val="2"/>
        <charset val="186"/>
      </rPr>
      <t>sh</t>
    </r>
    <r>
      <rPr>
        <sz val="8"/>
        <rFont val="Arial"/>
        <family val="2"/>
        <charset val="186"/>
      </rPr>
      <t xml:space="preserve"> SA Õpilasmalev</t>
    </r>
  </si>
  <si>
    <t>Toetus SA-le Tallinna Ettevõtlusinkubaatorid</t>
  </si>
  <si>
    <t>Toetus Tallinna Munitsipaalperearstikeskuse OÜ-le</t>
  </si>
  <si>
    <r>
      <t xml:space="preserve">* </t>
    </r>
    <r>
      <rPr>
        <i/>
        <sz val="8"/>
        <rFont val="Arial"/>
        <family val="2"/>
        <charset val="186"/>
      </rPr>
      <t>peale selle soodustused 4 881 970 €.</t>
    </r>
  </si>
  <si>
    <r>
      <t>Päevakeskuse teenused</t>
    </r>
    <r>
      <rPr>
        <sz val="8"/>
        <rFont val="Arial"/>
        <family val="2"/>
        <charset val="186"/>
      </rPr>
      <t xml:space="preserve"> (Põhja-Tallinna Sotsiaalkeskus)</t>
    </r>
  </si>
  <si>
    <t>Tallinna Turud</t>
  </si>
  <si>
    <t>Liiva kalmistu karjäär-prügimäe likvideerimine</t>
  </si>
  <si>
    <t>oma- ja kaasfinantseerimise ja välisprojektide ettevalmistamise reserv</t>
  </si>
  <si>
    <t>laste hoiu kohatasu</t>
  </si>
  <si>
    <t xml:space="preserve">huviasutuse muud tulud </t>
  </si>
  <si>
    <t>treeningu õppetasu</t>
  </si>
  <si>
    <t>spordilaagri teenused</t>
  </si>
  <si>
    <t>kauba müük (km 20%, linnapoe kauba müük)</t>
  </si>
  <si>
    <t>piletimüügi teenustasu</t>
  </si>
  <si>
    <t>16.3. Raua Saun</t>
  </si>
  <si>
    <t>muud tulud</t>
  </si>
  <si>
    <t>20.3. Nõmme Vaba Aja Keskus</t>
  </si>
  <si>
    <t>huviasutuse piletitulu</t>
  </si>
  <si>
    <t>hariduse investeeringuteks</t>
  </si>
  <si>
    <t>Toetus välisprojektide kaasfinantseerimiseks</t>
  </si>
  <si>
    <t>sh Kommunaalamet</t>
  </si>
  <si>
    <t>Tallinna Linnakantselei</t>
  </si>
  <si>
    <t>Välisrahastusega projekt "Uuendusi Euroopa 
Liidu vananemissõbralikele keskkondadele"</t>
  </si>
  <si>
    <t>Välisrahastusega projekt "Helsingi-Tallinna 
püsiühenduse tasuvusuuringu eeluuring - Talsinkifix"</t>
  </si>
  <si>
    <t>Baltic Flows - sademevee jälgimine ja juhtimine Läänemere piirkonna valgaladel</t>
  </si>
  <si>
    <t>INTA kongress</t>
  </si>
  <si>
    <t>sellest välisrahastus</t>
  </si>
  <si>
    <t>Välisrahastusega projekt "Helsingi-Tallinna püsiühenduse tasuvusuuringu eeluuring - Talsinkifix"</t>
  </si>
  <si>
    <t>laste hoiu pilootprojekt</t>
  </si>
  <si>
    <t>Välisrahastusega projekt "GeniUS mudeli rakendamine haridusasutuste juhtide arendamisel" (ü)</t>
  </si>
  <si>
    <t>Peterburi kohtumised Tallinnas</t>
  </si>
  <si>
    <t>Kultuuriöö</t>
  </si>
  <si>
    <t>Tootegrupp: spordikoolid</t>
  </si>
  <si>
    <r>
      <t>Spordikoolid (</t>
    </r>
    <r>
      <rPr>
        <sz val="8"/>
        <rFont val="Arial"/>
        <family val="2"/>
        <charset val="186"/>
      </rPr>
      <t>Tallinna Spordikool</t>
    </r>
    <r>
      <rPr>
        <sz val="10"/>
        <rFont val="Arial"/>
        <family val="2"/>
        <charset val="186"/>
      </rPr>
      <t>)</t>
    </r>
  </si>
  <si>
    <t>programmilised tegevused ja üritused</t>
  </si>
  <si>
    <t xml:space="preserve">  Toetused toimetulekuraskustes peredele</t>
  </si>
  <si>
    <t>Toetus Tallinn Restaurant Week MTÜ</t>
  </si>
  <si>
    <t>Tallinna Toiduabi</t>
  </si>
  <si>
    <t xml:space="preserve">Välisrahastusega projektide ettevalmistamise kulud </t>
  </si>
  <si>
    <t>Haljastute hooldusremont</t>
  </si>
  <si>
    <r>
      <t>Noortekeskus</t>
    </r>
    <r>
      <rPr>
        <sz val="8"/>
        <rFont val="Arial"/>
        <family val="2"/>
        <charset val="186"/>
      </rPr>
      <t xml:space="preserve"> (Kesklinna Vaba Aja Keskus)</t>
    </r>
  </si>
  <si>
    <r>
      <t>Noortekeskus</t>
    </r>
    <r>
      <rPr>
        <sz val="8"/>
        <rFont val="Arial"/>
        <family val="2"/>
        <charset val="186"/>
      </rPr>
      <t xml:space="preserve"> (Nõmme Vaba Aja Keskus)</t>
    </r>
  </si>
  <si>
    <r>
      <t>Noortekeskus</t>
    </r>
    <r>
      <rPr>
        <sz val="8"/>
        <rFont val="Arial"/>
        <family val="2"/>
        <charset val="186"/>
      </rPr>
      <t xml:space="preserve"> (Põhja-Tallinna Noortekeskus)</t>
    </r>
  </si>
  <si>
    <r>
      <t>sellest</t>
    </r>
    <r>
      <rPr>
        <sz val="8"/>
        <rFont val="Arial"/>
        <family val="2"/>
        <charset val="186"/>
      </rPr>
      <t xml:space="preserve"> MTÜ Pimedate Ööde Filmifestival</t>
    </r>
  </si>
  <si>
    <r>
      <t>Spordihooned ja -rajatised</t>
    </r>
    <r>
      <rPr>
        <sz val="8"/>
        <rFont val="Arial"/>
        <family val="2"/>
        <charset val="186"/>
      </rPr>
      <t xml:space="preserve"> (Pirita Spordikeskus, Tondiraba Spordikeskus, Kristiine Sport, Nõmme Spordikeskus)</t>
    </r>
  </si>
  <si>
    <t>Ideekonkurss „Tallinna innovaatiliste lahenduste teekaart“</t>
  </si>
  <si>
    <r>
      <t>Koduteenused</t>
    </r>
    <r>
      <rPr>
        <sz val="8"/>
        <rFont val="Arial"/>
        <family val="2"/>
        <charset val="186"/>
      </rPr>
      <t xml:space="preserve"> (Paljassaare Sotsiaalmaja)</t>
    </r>
  </si>
  <si>
    <t>Linnavalitsus ja linnavalitsuse liikmete bürood</t>
  </si>
  <si>
    <t>Linnasekretäri büroo ja linna valdkondlike teenistuste isikkoosseis</t>
  </si>
  <si>
    <t>Koostöö arendamine partnerlinnade ja rahvusvaheliste organisatsioonidega</t>
  </si>
  <si>
    <r>
      <t>Välisrahastusega projekt "Uuendusi Euroopa Liidu 
vananemissõbralikele keskkondadele"</t>
    </r>
    <r>
      <rPr>
        <sz val="10"/>
        <rFont val="Arial"/>
        <family val="2"/>
        <charset val="186"/>
      </rPr>
      <t xml:space="preserve"> (ü)</t>
    </r>
  </si>
  <si>
    <t>Tootegrupp: liikluskorraldus*</t>
  </si>
  <si>
    <t>Kasum/kahjum varude müügist</t>
  </si>
  <si>
    <r>
      <t>Päevakeskuse teenused</t>
    </r>
    <r>
      <rPr>
        <sz val="8"/>
        <rFont val="Arial"/>
        <family val="2"/>
        <charset val="186"/>
      </rPr>
      <t xml:space="preserve"> (Nõmme Vaba Aja Keskus)</t>
    </r>
  </si>
  <si>
    <r>
      <t>Koduteenused</t>
    </r>
    <r>
      <rPr>
        <sz val="8"/>
        <rFont val="Arial"/>
        <family val="2"/>
        <charset val="186"/>
      </rPr>
      <t xml:space="preserve"> (Nõmme Sotsiaalmaja)</t>
    </r>
  </si>
  <si>
    <r>
      <t>Toetatud elamine</t>
    </r>
    <r>
      <rPr>
        <sz val="8"/>
        <rFont val="Arial"/>
        <family val="2"/>
        <charset val="186"/>
      </rPr>
      <t xml:space="preserve"> (Nõmme Sotsiaalmaja)</t>
    </r>
  </si>
  <si>
    <t>sellest aluskaardi andmete uuendamine</t>
  </si>
  <si>
    <t>Noorte info- ja nõustamiskeskus</t>
  </si>
  <si>
    <t>* Eelarve täitmisel on lubatud soetada fooriobjektide hooldusremondi teostamiseks vajalikku materiaalset ja/või immateriaalset põhivara.</t>
  </si>
  <si>
    <t>Jazzkaare Sõprade Ühing</t>
  </si>
  <si>
    <r>
      <t>Saunateenuse korraldamine</t>
    </r>
    <r>
      <rPr>
        <sz val="8"/>
        <rFont val="Arial"/>
        <family val="2"/>
        <charset val="186"/>
      </rPr>
      <t xml:space="preserve"> (Lasnamäe Saun)</t>
    </r>
  </si>
  <si>
    <t>18.6. Lasnamäe Saun</t>
  </si>
  <si>
    <t>Eesti Korvpalliliit</t>
  </si>
  <si>
    <r>
      <t>Tootegrupp: kultuuritegevus</t>
    </r>
    <r>
      <rPr>
        <sz val="8"/>
        <rFont val="Arial"/>
        <family val="2"/>
        <charset val="186"/>
      </rPr>
      <t xml:space="preserve"> (Kesklinna Vaba Aja Keskus)</t>
    </r>
  </si>
  <si>
    <t>Toetus SA-le Tallinna Vene Lütseum</t>
  </si>
  <si>
    <t>Tootevaldkond: teed ja tänavad*</t>
  </si>
  <si>
    <t>Tootegrupp: teetööd</t>
  </si>
  <si>
    <t>* Eelarve täitmisel on linnavalitsusel õigus muuta summade jaotust tootevaldkonna üldsumma piires.</t>
  </si>
  <si>
    <t>haridustöötajate tunnustamine</t>
  </si>
  <si>
    <t>2014. aastast 2015. eelarveaastasse ülekantavad kulud (a)</t>
  </si>
  <si>
    <t>7.5. Kristiine Sport</t>
  </si>
  <si>
    <t>7.6. Nõmme Spordikeskus</t>
  </si>
  <si>
    <t>7.8. Tondiraba Spordikeskus</t>
  </si>
  <si>
    <r>
      <t>Laste päevakeskuse teenused</t>
    </r>
    <r>
      <rPr>
        <sz val="8"/>
        <rFont val="Arial"/>
        <family val="2"/>
        <charset val="186"/>
      </rPr>
      <t xml:space="preserve"> (Nõmme Vaba Aja Keskus)</t>
    </r>
  </si>
  <si>
    <t>GeniUS mudeli rakendamine haridusasutuste juhtide arendamisel</t>
  </si>
  <si>
    <r>
      <t>Päevakeskuse teenused</t>
    </r>
    <r>
      <rPr>
        <sz val="8"/>
        <rFont val="Arial"/>
        <family val="2"/>
        <charset val="186"/>
      </rPr>
      <t xml:space="preserve"> (Mustamäe Päevakeskus)</t>
    </r>
  </si>
  <si>
    <r>
      <t>Koduteenused</t>
    </r>
    <r>
      <rPr>
        <sz val="8"/>
        <rFont val="Arial"/>
        <family val="2"/>
        <charset val="186"/>
      </rPr>
      <t xml:space="preserve"> (Mustamäe Päevakeskus)</t>
    </r>
  </si>
  <si>
    <t>19.3. Mustamäe Päevakeskus</t>
  </si>
  <si>
    <r>
      <t>Tootegrupp: kultuuritegevus</t>
    </r>
    <r>
      <rPr>
        <sz val="8"/>
        <rFont val="Arial"/>
        <family val="2"/>
        <charset val="186"/>
      </rPr>
      <t xml:space="preserve"> (Haabersti Vaba Aja Keskus)</t>
    </r>
  </si>
  <si>
    <r>
      <t xml:space="preserve">Noortekeskus </t>
    </r>
    <r>
      <rPr>
        <sz val="8"/>
        <rFont val="Arial"/>
        <family val="2"/>
        <charset val="186"/>
      </rPr>
      <t>(Haabersti Vaba Aja Keskus)</t>
    </r>
  </si>
  <si>
    <t>Sporditegevuse toetamine (a)</t>
  </si>
  <si>
    <t>Linnatransport</t>
  </si>
  <si>
    <t>MTÜ Kultuuritraditsioonid</t>
  </si>
  <si>
    <t>Ametiasutuste juhtide tulemustasud ja kauaaegsete teenistujate preemiad</t>
  </si>
  <si>
    <t>laste hoiu toitlustustasu</t>
  </si>
  <si>
    <t>dementsete vanurite päevahoiu tasu</t>
  </si>
  <si>
    <t>Tallinna Kiirabi Retke tee 1 hoone rekonstrueerimiseks</t>
  </si>
  <si>
    <t>terviseliikumise programmüritused</t>
  </si>
  <si>
    <t>rahvusvahelised spordiüritused</t>
  </si>
  <si>
    <t>muud spordiprojektid</t>
  </si>
  <si>
    <t>Ülemiste liiklussõlme rekonstrueerimise II etapi lõpetamine</t>
  </si>
  <si>
    <t>Tallinna linna innovatsioonistipendium (Eesti Ettevõtluskõrgkool Mainor)</t>
  </si>
  <si>
    <t>Kultuurilinnade koostöövõrgustik</t>
  </si>
  <si>
    <t>Laulu- ja Tantsupeo Slaavi pärg Korralduskomitee</t>
  </si>
  <si>
    <t>MTÜ Heategevusühing Radiola</t>
  </si>
  <si>
    <t>vene traditsioone tutvustava ürituse „Masljanitsa“ korraldamine Mustamäe linnaosas</t>
  </si>
  <si>
    <t>Toetus Hilariuse Koolile</t>
  </si>
  <si>
    <t>võitlusspordi toetamine</t>
  </si>
  <si>
    <t>sh linna sotsiaalhoolekande asutuste töötajate palgatõus</t>
  </si>
  <si>
    <t>linna kultuuriasutuste töötajate palgatõus (v.a asutused, mille töötajate palgatõus toimus 2014. aastal)</t>
  </si>
  <si>
    <t>Linna asutuste palgavahendite kasv kuni 5%*</t>
  </si>
  <si>
    <t>*Linna asutuste palgavahendite kasvu jaotuse asutuste lõikes kinnitab linnavalitsus.</t>
  </si>
  <si>
    <t>I lisaeelarve</t>
  </si>
  <si>
    <t>Täpsustatud eelarve</t>
  </si>
  <si>
    <t>Esialgne eelarve</t>
  </si>
  <si>
    <t>LINNA JUHTIMINE</t>
  </si>
  <si>
    <t>LINNA TUGITEENUSED</t>
  </si>
  <si>
    <t>AVALIK KORD</t>
  </si>
  <si>
    <t>HARIDUS</t>
  </si>
  <si>
    <t>KULTUUR</t>
  </si>
  <si>
    <t>SPORT JA VABA AEG</t>
  </si>
  <si>
    <t>NOORSOOTÖÖ</t>
  </si>
  <si>
    <t>SOTSIAALHOOLEKANNE</t>
  </si>
  <si>
    <t>LINNAMAJANDUS</t>
  </si>
  <si>
    <t>ETTEVÕTLUSKESKKOND</t>
  </si>
  <si>
    <t>LINNATRANSPORT</t>
  </si>
  <si>
    <t>TEED JA TÄNAVAD</t>
  </si>
  <si>
    <t>HEAKORD</t>
  </si>
  <si>
    <t>MUUD KOMMUNAALKULUD</t>
  </si>
  <si>
    <t>TEHNOVÕRGUD</t>
  </si>
  <si>
    <t>KESKKONNAKAITSE</t>
  </si>
  <si>
    <t>LINNAPLANEERIMINE</t>
  </si>
  <si>
    <t>LINNAOSADE RESERVFONDID</t>
  </si>
  <si>
    <t>FINANTSKULUD</t>
  </si>
  <si>
    <t>LINNAVALITSUSE RESERVFOND</t>
  </si>
  <si>
    <t>MUUD RESERVID</t>
  </si>
  <si>
    <t>Riigi ja muude institutsioonide toetuste arvelt tehtavad kulud</t>
  </si>
  <si>
    <t xml:space="preserve">Linnavolikogu kantselei  </t>
  </si>
  <si>
    <t>Kulud valdkondade lõikes</t>
  </si>
  <si>
    <t>Linna juhtimine</t>
  </si>
  <si>
    <t>Noorsootöö</t>
  </si>
  <si>
    <t>Muu majandus</t>
  </si>
  <si>
    <t>Ettevõtluskeskkond</t>
  </si>
  <si>
    <t>Muud kommunaalkulud</t>
  </si>
  <si>
    <t>Keskkonnakaitse</t>
  </si>
  <si>
    <t>Muud valdkonnad</t>
  </si>
  <si>
    <t>Avalik kord</t>
  </si>
  <si>
    <t>Valdkonnad kokku</t>
  </si>
  <si>
    <t>Finantskulud</t>
  </si>
  <si>
    <t>Reservfond (linnavalitsus ja linnaosad)</t>
  </si>
  <si>
    <t>Kohtuvaidluste ja muude õiguslike vaidlustega seotud nõuete reserv</t>
  </si>
  <si>
    <t>Allahinnatavate nõuete reserv</t>
  </si>
  <si>
    <t>Linna vara ja kohustustega seonduvate toimingute reserv</t>
  </si>
  <si>
    <t>Tegevuskulud, v.a riigieelarve ja muude eraldiste arvelt</t>
  </si>
  <si>
    <t>sh omatulude arvelt</t>
  </si>
  <si>
    <t>linnakassa arvelt</t>
  </si>
  <si>
    <t>Kulud ametiasutuste haldusalade lõikes</t>
  </si>
  <si>
    <t>Ametiasutuste haldusalad kokku</t>
  </si>
  <si>
    <t>Linna asutuste palgavahendite kasv</t>
  </si>
  <si>
    <t>Linnavalitsuse reservfond</t>
  </si>
  <si>
    <t>Kulud linnakassa arvelt</t>
  </si>
  <si>
    <t>Oma- ja kaasfinantseerimise ja välisprojektide ettevalmistamise reserv</t>
  </si>
  <si>
    <t>TERVISHOID</t>
  </si>
  <si>
    <t xml:space="preserve">Pirita Linnaosa Valitsuse haldusala </t>
  </si>
  <si>
    <t xml:space="preserve">Sotsiaalhoolekanne </t>
  </si>
  <si>
    <t xml:space="preserve">Tervishoid </t>
  </si>
  <si>
    <t xml:space="preserve">Linnavaraamet </t>
  </si>
  <si>
    <r>
      <t>Linnavaraamet</t>
    </r>
    <r>
      <rPr>
        <sz val="10"/>
        <rFont val="Arial"/>
        <family val="2"/>
        <charset val="186"/>
      </rPr>
      <t xml:space="preserve"> </t>
    </r>
  </si>
  <si>
    <t xml:space="preserve">Transpordiamet </t>
  </si>
  <si>
    <r>
      <t>Transpordiamet</t>
    </r>
    <r>
      <rPr>
        <sz val="10"/>
        <rFont val="Arial"/>
        <family val="2"/>
        <charset val="186"/>
      </rPr>
      <t xml:space="preserve"> </t>
    </r>
  </si>
  <si>
    <t xml:space="preserve">Linnaplaneerimise Amet </t>
  </si>
  <si>
    <r>
      <t>Linnaplaneerimise Amet</t>
    </r>
    <r>
      <rPr>
        <sz val="10"/>
        <rFont val="Arial"/>
        <family val="2"/>
        <charset val="186"/>
      </rPr>
      <t xml:space="preserve"> </t>
    </r>
  </si>
  <si>
    <t xml:space="preserve">Munitsipaalpolitsei Amet </t>
  </si>
  <si>
    <r>
      <t>Munitsipaalpolitsei Amet</t>
    </r>
    <r>
      <rPr>
        <sz val="10"/>
        <rFont val="Arial"/>
        <family val="2"/>
        <charset val="186"/>
      </rPr>
      <t xml:space="preserve"> </t>
    </r>
  </si>
  <si>
    <t>spordiasutuse tasulised teenused</t>
  </si>
  <si>
    <t>INTA kongressi korraldamine</t>
  </si>
  <si>
    <t>Tallinna Linnateatri 50. juubeli ettevalmistus</t>
  </si>
  <si>
    <t>Tallinna noorsportlased</t>
  </si>
  <si>
    <r>
      <t xml:space="preserve">Laste ja emad lastega turvakoduteenused </t>
    </r>
    <r>
      <rPr>
        <sz val="8"/>
        <rFont val="Arial"/>
        <family val="2"/>
        <charset val="186"/>
      </rPr>
      <t>(Sotsiaal- ja Tervishoiuamet, Tallinna Lastekodu)</t>
    </r>
  </si>
  <si>
    <r>
      <t xml:space="preserve">Hooldamine asenduskodus </t>
    </r>
    <r>
      <rPr>
        <sz val="8"/>
        <rFont val="Arial"/>
        <family val="2"/>
        <charset val="186"/>
      </rPr>
      <t>(Tallinna Lastekodu)</t>
    </r>
  </si>
  <si>
    <t>Aegna saare loodusmaja haldamine</t>
  </si>
  <si>
    <t>Perekonda toetavad teenused (ü)</t>
  </si>
  <si>
    <t>Tallinna Kiirabi (ü)</t>
  </si>
  <si>
    <t>7. Spordi- ja Noorsooameti haldusala</t>
  </si>
  <si>
    <t>7.7. Tallinna Spordikool</t>
  </si>
  <si>
    <t xml:space="preserve">äriruumide üüritulu </t>
  </si>
  <si>
    <t>koolitus</t>
  </si>
  <si>
    <t>13.4. Tallinna Jäätmekeskus</t>
  </si>
  <si>
    <t>16.4. Kesklinna Vaba Aja Keskus</t>
  </si>
  <si>
    <t>muud rahva- ja kultuurimaja tasulised teenused</t>
  </si>
  <si>
    <t>22.5. Põhja -Tallinna Noortekeskus</t>
  </si>
  <si>
    <t>Sotsiaal- ja Tervishoiuamet (Tallinna Kiirabi)</t>
  </si>
  <si>
    <t>Tallinna spordiveteranid</t>
  </si>
  <si>
    <t>Haridusamet</t>
  </si>
  <si>
    <t>kohalike teede hoiuks - juhtumipõhine toetus</t>
  </si>
  <si>
    <t>Tallinna Botaanikaaia looduse-õpperadade audiogiidi rakenduseks</t>
  </si>
  <si>
    <t>Haabersti skatepargi rajamiseks</t>
  </si>
  <si>
    <t>ekstreemspordiväljaku rajamiseks Kanutiaia parki</t>
  </si>
  <si>
    <t>Tallinna Fiharmooniale kontsertklaveri soetamiseks</t>
  </si>
  <si>
    <t>Elos-koolide kvaliteedinõuded</t>
  </si>
  <si>
    <t>Välisrahastusega projekt "CREATE - Liiklusummikute vähendamine Euroopas: transpordi efektiivsuse edendamine" (ü)</t>
  </si>
  <si>
    <t>Energia teekaardid - R4E</t>
  </si>
  <si>
    <t>Priisle tee kergliiklustee esimese etapi rajamine</t>
  </si>
  <si>
    <t>Järvevana tee - Pärnu mnt vahelise kergliiklustee rajamine</t>
  </si>
  <si>
    <t>Paldiski mnt kergliiklustee ehitus (Järveotsa tee - Järvekalda tee)</t>
  </si>
  <si>
    <t>Tallinna linna Johan Pitka stipendium (Tallinna Tehnikaülikooli Eesti Mereakadeemia)</t>
  </si>
  <si>
    <t>Välisrahastusega projekt "Elos-koolide kvaliteedinõuded"</t>
  </si>
  <si>
    <t>Eesti Noorte Purjeõppeselts "STA ESTONIA"</t>
  </si>
  <si>
    <t>Toetused korteriühistutele, sh*</t>
  </si>
  <si>
    <t>toetus korteriühistutele õuealade heakorrastamiseks (ü)</t>
  </si>
  <si>
    <t>toetus korteriühistutele fassaadide korrastamiseks (ü)</t>
  </si>
  <si>
    <t>*Eelarve täitmisel on linnavalitsusel õigus muuta summade jaotust toetuste üldsumma piires.</t>
  </si>
  <si>
    <t>Välisrahastusega projekt "Energia teekaardid - R4E" (ü)</t>
  </si>
  <si>
    <t>Palgatõusu vahendite jaotus</t>
  </si>
  <si>
    <r>
      <t>Tootegrupp: raamatukogud</t>
    </r>
    <r>
      <rPr>
        <sz val="8"/>
        <rFont val="Arial"/>
        <family val="2"/>
        <charset val="186"/>
      </rPr>
      <t xml:space="preserve"> (Tallinna Keskraamatukogu)</t>
    </r>
  </si>
  <si>
    <r>
      <t>Tootegrupp: kultuuritegevus</t>
    </r>
    <r>
      <rPr>
        <sz val="8"/>
        <rFont val="Arial"/>
        <family val="2"/>
        <charset val="186"/>
      </rPr>
      <t xml:space="preserve"> (Vene Kultuurikeskus, Tallinna Pelgulinna Rahvamaja)</t>
    </r>
  </si>
  <si>
    <r>
      <t>Tootegrupp: muuseumid</t>
    </r>
    <r>
      <rPr>
        <sz val="8"/>
        <rFont val="Arial"/>
        <family val="2"/>
        <charset val="186"/>
      </rPr>
      <t xml:space="preserve"> (Tallinna Linnamuuseum)</t>
    </r>
  </si>
  <si>
    <r>
      <t>Tootegrupp: loomaaed</t>
    </r>
    <r>
      <rPr>
        <sz val="8"/>
        <rFont val="Arial"/>
        <family val="2"/>
        <charset val="186"/>
      </rPr>
      <t xml:space="preserve"> (Tallinna Loomaaed)</t>
    </r>
  </si>
  <si>
    <r>
      <t>Tootegrupp: teater</t>
    </r>
    <r>
      <rPr>
        <sz val="8"/>
        <rFont val="Arial"/>
        <family val="2"/>
        <charset val="186"/>
      </rPr>
      <t xml:space="preserve"> (Tallinna Linnateater)</t>
    </r>
  </si>
  <si>
    <r>
      <t>Tootegrupp: kontsertteenus</t>
    </r>
    <r>
      <rPr>
        <sz val="8"/>
        <rFont val="Arial"/>
        <family val="2"/>
        <charset val="186"/>
      </rPr>
      <t xml:space="preserve"> (Tallinna Filharmoonia)</t>
    </r>
  </si>
  <si>
    <r>
      <t>Tootegrupp: koolitusteenus</t>
    </r>
    <r>
      <rPr>
        <sz val="8"/>
        <rFont val="Arial"/>
        <family val="2"/>
        <charset val="186"/>
      </rPr>
      <t xml:space="preserve"> (Tallinna Rahvaülikool)</t>
    </r>
  </si>
  <si>
    <t>Eesti Soome-Ugri Rahvuste Ühendus</t>
  </si>
  <si>
    <t>Haabersti Linnaosa Valitsus</t>
  </si>
  <si>
    <t>Tallinna Kesklinna Valitsus</t>
  </si>
  <si>
    <t>Lasnamäe Linnaosa Valitsus</t>
  </si>
  <si>
    <t>KOONDEELARVE</t>
  </si>
  <si>
    <t>TULEMI PROGNOOS</t>
  </si>
  <si>
    <t>TULUD  KOKKU</t>
  </si>
  <si>
    <t>Kaupade ja teenuste müük</t>
  </si>
  <si>
    <t>Vara müük</t>
  </si>
  <si>
    <t>Müüdava vara jääkmaksumus</t>
  </si>
  <si>
    <t>Välisrahastus</t>
  </si>
  <si>
    <t>KULUD  KOKKU</t>
  </si>
  <si>
    <t>Põhitegevuse kulud, sh</t>
  </si>
  <si>
    <t>tegevuskulud riigi ja muude institutsioonide toetuste arvelt</t>
  </si>
  <si>
    <t>tegevuskulud välisrahastuse arvelt</t>
  </si>
  <si>
    <t>muud tegevuskulud</t>
  </si>
  <si>
    <t>Investeeringuprojektide kulud</t>
  </si>
  <si>
    <t>EELARVE TEGEVUSTULEM</t>
  </si>
  <si>
    <t>Amortisatsioon</t>
  </si>
  <si>
    <t>EELARVE AASTA TULEM KOKKU</t>
  </si>
  <si>
    <t>MUUTUSED BILANSIS</t>
  </si>
  <si>
    <t>MUUTUS MITTEFINANTSVARADES</t>
  </si>
  <si>
    <t>Põhivara soetus ja renoveerimine</t>
  </si>
  <si>
    <t>Müüdava vara jääkväärtus</t>
  </si>
  <si>
    <t>MUUTUS MITTEFINANTSVARADES KOKKU</t>
  </si>
  <si>
    <t>MUUTUS FINANTSVARADES (V.A RAHAS)</t>
  </si>
  <si>
    <t>Aktsiakapitali suurendamine</t>
  </si>
  <si>
    <t>MUUTUS RAHAS</t>
  </si>
  <si>
    <t>Hoiuste muutus</t>
  </si>
  <si>
    <t>Hoiuste vähenemine</t>
  </si>
  <si>
    <t>Hoiuste suurenemine</t>
  </si>
  <si>
    <t>MUUTUS FINANTSVARADES KOKKU</t>
  </si>
  <si>
    <t>MUUTUS NÕUETES KOKKU</t>
  </si>
  <si>
    <t>Nõuete suurenemine</t>
  </si>
  <si>
    <t>Nõuete vähenemine</t>
  </si>
  <si>
    <t>MUUTUS LAENUKOHUSTUSTES KOKKU</t>
  </si>
  <si>
    <t>Laenude võtmine</t>
  </si>
  <si>
    <t>Laenude tagasimaksed</t>
  </si>
  <si>
    <t>Maksed teenuste kontsessioonilepingu raames</t>
  </si>
  <si>
    <t>MUUTUS NETOVARAS</t>
  </si>
  <si>
    <t>SISSETULEKUD</t>
  </si>
  <si>
    <t>VÄLJAMINEKUD</t>
  </si>
  <si>
    <t>TULUDE EELARVE</t>
  </si>
  <si>
    <t>Tululiik</t>
  </si>
  <si>
    <t>Eelarve kokku</t>
  </si>
  <si>
    <t>Maksutulud kokku</t>
  </si>
  <si>
    <t>Tulud kokku (v.a toetused)</t>
  </si>
  <si>
    <t>sh riigilt jm institutsioonidelt</t>
  </si>
  <si>
    <t>välisprojektide kaasfinantseerimine</t>
  </si>
  <si>
    <t>Linna juhtide muutuvpalk (sh tulemuspalk) ja kauaaegsete teenistujate preemiad</t>
  </si>
  <si>
    <t>Käitumishäirega laste rehabilitatsiooniteenus (Tallinna Laste Turvakeskus)</t>
  </si>
  <si>
    <r>
      <t>Noortekodu teenus</t>
    </r>
    <r>
      <rPr>
        <sz val="8"/>
        <rFont val="Arial"/>
        <family val="2"/>
        <charset val="186"/>
      </rPr>
      <t xml:space="preserve"> (Tallinna Lastekodu)</t>
    </r>
  </si>
  <si>
    <t>Kulud omatulude arvelt</t>
  </si>
  <si>
    <t>Koond</t>
  </si>
  <si>
    <t>Toetused kokku</t>
  </si>
  <si>
    <t>FINANTSEERIMISTEGEVUSE EELARVE</t>
  </si>
  <si>
    <t>Laenukohustuse suurenemine</t>
  </si>
  <si>
    <t>Laenukohustuse vähenemine</t>
  </si>
  <si>
    <t>Teenuste kontsessioonilepingu raames renoveeritavad koolid</t>
  </si>
  <si>
    <t>Sihtasutus Tallinna Kunstihoone Fond</t>
  </si>
  <si>
    <t>tööpraktika juhendamine</t>
  </si>
  <si>
    <t>8.7. Tallinna Laste Turvakeskus</t>
  </si>
  <si>
    <t>muud eespoolnimetamata tulu majandustegevusest</t>
  </si>
  <si>
    <t>II lisaeelarve</t>
  </si>
  <si>
    <t>eelnõu</t>
  </si>
  <si>
    <t>Kultuuriväärtuste Ameti haldusala (Tallinna Filharmoonia)</t>
  </si>
  <si>
    <t>Saadud kahjuhüvitised</t>
  </si>
  <si>
    <t>Kultuuriväärtuste Ameti haldusala (Tallinna Keskraamatukogu)</t>
  </si>
  <si>
    <t>KÜ Mooni ja Sõpruse 196 kaasfinantseerimine</t>
  </si>
  <si>
    <t>Loominguline foorum raamatukogus</t>
  </si>
  <si>
    <t>Põhja-raunjala ja ida-kiviürdi ex situ säilitamiseks liigikaitse eesmärgil Tallinna Botaanikaaias</t>
  </si>
  <si>
    <t>Sotsiaaltöötajate premeerimine</t>
  </si>
  <si>
    <t>Tervishoiutöötajate premeerimine</t>
  </si>
  <si>
    <t>Toetus SA-le Tallinna Teaduspark TEHNOPOL</t>
  </si>
  <si>
    <t>Toetus Ühistupanga Asutamise Sihtasutusele</t>
  </si>
  <si>
    <t xml:space="preserve">Nutikad loomaaiad. Rahvusvaheline teenustepakett loovaks õppimiseks Kesk-Läänemere Regiooni loomaaedades (SmartZoos) </t>
  </si>
  <si>
    <t>Välisrahastusega projekt "„Nutikad loomaaiad. Rahvusvaheline teenustepakett loovaks õppimiseks Kesk-Läänemere Regiooni loomaaedades“ (SmartZoos) (ü)</t>
  </si>
  <si>
    <t>Festival "Rahvuskultuuride päev "Kodune Tallinn"</t>
  </si>
  <si>
    <t>Välisrahastusega projekt "Loominguline foorum raamatukogus" (ü)</t>
  </si>
  <si>
    <t>MUU MAJANDUS</t>
  </si>
  <si>
    <t>Planeeringud ja arhitektuurikonkursid</t>
  </si>
  <si>
    <t>Täpsustatud 
eelarve</t>
  </si>
  <si>
    <t>Esialgne 
eelarve</t>
  </si>
  <si>
    <t>Piirkondlikud sündmused, projektid ja mittetulundustegevuse toetamine</t>
  </si>
  <si>
    <t>DX ART MTÜ</t>
  </si>
  <si>
    <t>toiduabi</t>
  </si>
  <si>
    <t>Projekt "Tallinna haigla"</t>
  </si>
  <si>
    <r>
      <t xml:space="preserve">sh </t>
    </r>
    <r>
      <rPr>
        <sz val="8"/>
        <rFont val="Arial"/>
        <family val="2"/>
        <charset val="186"/>
      </rPr>
      <t>ajutised välikäimlad</t>
    </r>
  </si>
  <si>
    <t>Harju tänava ja Nõmme teisaldatav jääväljak</t>
  </si>
  <si>
    <r>
      <t>sh</t>
    </r>
    <r>
      <rPr>
        <sz val="8"/>
        <rFont val="Arial"/>
        <family val="2"/>
        <charset val="186"/>
      </rPr>
      <t xml:space="preserve"> koerte jalutusväljakute ja ujutamiskohtade hooldus</t>
    </r>
  </si>
  <si>
    <t>Tallinna ajaloo üldkäsitluse koostamine ja väljaandmine (ü)</t>
  </si>
  <si>
    <t xml:space="preserve">Tallinna spordiaasta lõpetamine  </t>
  </si>
  <si>
    <t>Eesti Kooriühing</t>
  </si>
  <si>
    <t>RAHVAMUUSIKA ANSAMBEL ZLATÕJE GORÕ</t>
  </si>
  <si>
    <t>Puuetega Inimeste Kojale Tallinna puuetega inimeste aastat kokkuvõtva lõpuürituse korraldamiseks</t>
  </si>
  <si>
    <t>EELARVE KOHALIKU OMAVALITSUSE ÜKSUSE FINANTSJUHTIMISE SEADUSE JÄRGI</t>
  </si>
  <si>
    <t>Põhitegevuse tulud (+)</t>
  </si>
  <si>
    <t>Maksutulud</t>
  </si>
  <si>
    <t>Tulud kaupade ja teenuste müügist</t>
  </si>
  <si>
    <t>Saadavad toetused tegevuskuludeks</t>
  </si>
  <si>
    <t>Muud tegevustulud</t>
  </si>
  <si>
    <t>Põhitegevuse kulud (-)</t>
  </si>
  <si>
    <t>Antavad toetused tegevuskuludeks</t>
  </si>
  <si>
    <t>Muud tegevuskulud</t>
  </si>
  <si>
    <t>Reservid</t>
  </si>
  <si>
    <t>PÕHITEGEVUSE TULEM</t>
  </si>
  <si>
    <t>Investeerimistegevus</t>
  </si>
  <si>
    <t>Põhivara müük (+)</t>
  </si>
  <si>
    <t>Põhivara soetus (-)</t>
  </si>
  <si>
    <t>Saadav sihtfinantseerimine (+)</t>
  </si>
  <si>
    <t>Antav sihtfinantseerimine (-)</t>
  </si>
  <si>
    <t>Finantstulud (+)</t>
  </si>
  <si>
    <t>Finantskulud (-)</t>
  </si>
  <si>
    <t>EELARVE TULEM</t>
  </si>
  <si>
    <t>Finantseerimistegevus</t>
  </si>
  <si>
    <t>Kohustuste võtmine (+)</t>
  </si>
  <si>
    <t>Kohustuste tasumine (-)</t>
  </si>
  <si>
    <t>Likviidsete varade muutus</t>
  </si>
  <si>
    <t>Nõuete ja kohustuste saldode muutus</t>
  </si>
  <si>
    <t>Aktsiakapitali suurendamine (-)</t>
  </si>
  <si>
    <t>Kokku</t>
  </si>
  <si>
    <t>Sport- ja vaba aeg</t>
  </si>
  <si>
    <t>Sotsiaalhooldus ja tervishoid</t>
  </si>
  <si>
    <t>Elamumajandus</t>
  </si>
  <si>
    <t>INVESTEERIMISTEGEVUSE EELARVE</t>
  </si>
  <si>
    <t>Täpsustatud eelarve arvestab järgmiste õigusaktidega:</t>
  </si>
  <si>
    <t/>
  </si>
  <si>
    <t>Edaspidi</t>
  </si>
  <si>
    <t xml:space="preserve">Tallinna linna 2015. aasta eelarve (Tallinna Linnavolikogu 18.12.2014 määrus nr 34), </t>
  </si>
  <si>
    <t>Tallinna linna 2015. aasta esimene lisaeelarve (Tallinna Linnavolikogu 11.06.2015 määrus nr 16)</t>
  </si>
  <si>
    <t>Investeerimisprojekti/objekti nimetus</t>
  </si>
  <si>
    <t>Katte-alli-kas*</t>
  </si>
  <si>
    <t>I VÄLISRAHASTUSEGA INVESTEERIMISPROJEKTID</t>
  </si>
  <si>
    <t>Välisprojektid kokku</t>
  </si>
  <si>
    <t>sh</t>
  </si>
  <si>
    <t>LE</t>
  </si>
  <si>
    <t>SE</t>
  </si>
  <si>
    <t>VR</t>
  </si>
  <si>
    <t>Pirita Spordikeskuse multifunktsionaalne arendamine (Rummu tee 3 kergliiklustunneli ehitamine)</t>
  </si>
  <si>
    <t>Lastele perelähedase elukeskkonna loomine (lastekodu lastele peremajade ja varjupaiga ehitamine, Veerise tn 26 ja 28)</t>
  </si>
  <si>
    <t>Teede ja tänavate rekonstrueerimise projektid</t>
  </si>
  <si>
    <t>Järvevana tee - Pärnu maaantee vahelise kergliiklustee rajamine</t>
  </si>
  <si>
    <t>Paldiski maantee kergliiklustee rajamine (lõigus Järveotsa tee - Järvekalda tee)</t>
  </si>
  <si>
    <t>II MUUD INVESTEERIMISPROJEKTID</t>
  </si>
  <si>
    <t>Muud investeerimisprojektid kokku</t>
  </si>
  <si>
    <t>RE</t>
  </si>
  <si>
    <t>RE/OT</t>
  </si>
  <si>
    <t>Põhikoolide ja gümnaasiumide remont ja soetused</t>
  </si>
  <si>
    <t>Koolieelsete lasteasutuste remont, soetused ja uued lasteaiad</t>
  </si>
  <si>
    <t>Huvikoolide remont ja soetused</t>
  </si>
  <si>
    <t>Lasnamäe Muusikakooli klaveri soetamine</t>
  </si>
  <si>
    <t>Tallinna Õpetajate Maja remont ja soetused</t>
  </si>
  <si>
    <t>Keskraamatukogu teavikute soetamine</t>
  </si>
  <si>
    <t>Linnamüüri ja muldkindlustusvööndi restaureerimine, Ingeri bastioni idapoolse käigu restaureerimine</t>
  </si>
  <si>
    <t>Tallinna linnamüüri ja bastionide eskarpmüüride konserveerimine</t>
  </si>
  <si>
    <t>Hopneri maja fassaadi renoveerimine</t>
  </si>
  <si>
    <t>Viruvärava tornide restaureerimine ja konserveerimine</t>
  </si>
  <si>
    <t>Tallinna Linnamuuseumi remontööd ja soetused</t>
  </si>
  <si>
    <t>Mustpeade Maja renoveerimistööd</t>
  </si>
  <si>
    <t>Salme Kultuurikeskuse renoveerimine</t>
  </si>
  <si>
    <t>Tallinna Linnateatri Lai tn 25 hoone renoveerimine</t>
  </si>
  <si>
    <t>Vene Kultuurikeskuse akende vahetus ja tuleohutusnõuete täitmine</t>
  </si>
  <si>
    <t>Tallinna Loomaaia soojalembeliste sõraliste hoone katuse renoveerimine</t>
  </si>
  <si>
    <t>Tallinna Loomaaia muud remonttööd ja soetused</t>
  </si>
  <si>
    <t>Tallinna Filharmooniale kontsertklaveri soetamine</t>
  </si>
  <si>
    <t>Tallinna Botaanikaaia looduse-õpperadade audiogiid</t>
  </si>
  <si>
    <t>Tallinna Botaanikaaia soetused liigikaitse eesmärgil</t>
  </si>
  <si>
    <t>Kultuurikeskus Lindakivi huviringide majas Kalevipoja tn 10 tuleohutusnõuete täitmine</t>
  </si>
  <si>
    <t>Jaan Poska Mälestusmärgi rajamine</t>
  </si>
  <si>
    <t>F.R.Kreutzvaldi monumendi remonttööd</t>
  </si>
  <si>
    <t>Tallinna Botaanikaaia meelte aia projekteerimine ja rajamine</t>
  </si>
  <si>
    <t>Kultuurikeskus Lindakivi soetused</t>
  </si>
  <si>
    <t>Kultuuriasutuste remonttööd, soetused ja tuleohutusnõuete täitmine</t>
  </si>
  <si>
    <t>Kalevi Spordihalli rekonstrueerimine ja sisustus</t>
  </si>
  <si>
    <t>Jalgpallihalli rajamine Vikerlase tn 16a</t>
  </si>
  <si>
    <t>sh töötasu</t>
  </si>
  <si>
    <t>Sõle Spordikompleksi I etapp (kunstmuruga jalgpalliväljaku rajamine)</t>
  </si>
  <si>
    <t>Piiri spordibaasi elektri- ja kanalisatsioonisüsteemi rekonstrueerimine</t>
  </si>
  <si>
    <t>Wismari tn 15a staadioni maja riietus- ja pesemisruumide ning katuse avariiremont</t>
  </si>
  <si>
    <t>Spordi- ja noorsootöö valdkonna asutuste remonttööd ja soetused</t>
  </si>
  <si>
    <t>Pirita Spordikeskuse küttetrassi avariiremonttööd</t>
  </si>
  <si>
    <t>Tondiraba jäähalli ehituse lõpetamine</t>
  </si>
  <si>
    <t>Paul Kerese nimelise Malemaja renoveerimine</t>
  </si>
  <si>
    <t>Sotsiaalhoolekanne ja tervishoid</t>
  </si>
  <si>
    <t>Tallinna Tugikeskus Juks (Kadaka tee 153) hoone renoveerimine ja sisustus</t>
  </si>
  <si>
    <t>Sotsiaalmajutusüksuste renoveerimine (Tuulemaa tn 6)</t>
  </si>
  <si>
    <t>Tallinna Vaimse Tervise Keskuse (Hooldekodu tee 2) hoone renoveerimine ja soetused</t>
  </si>
  <si>
    <t>Killustiku tn 16 sotsiaalkeskuse gaasikatlamaja rekonstrueerimine</t>
  </si>
  <si>
    <t>Sotsiaalasutuste remonttööd, soetused ja tuleohutusnõuete täitmine</t>
  </si>
  <si>
    <t>Tallinna Kiirabi Retke tee 1 hoone rekonstrueerimine</t>
  </si>
  <si>
    <t>OT</t>
  </si>
  <si>
    <t>Haabersti Sotsiaalkeskuse remont ja inventari soetamine</t>
  </si>
  <si>
    <t>Munitsipaalelamute projekteerimine, ehitamine ja sisustamine (Uuslinna tn 3a elamu projekt)</t>
  </si>
  <si>
    <t>Linnavara valdkonna remonttööd ja soetused</t>
  </si>
  <si>
    <t>Tallinna kinnisvararegistri arendamine</t>
  </si>
  <si>
    <t>Tühjalt seisvate koolihoonete lammutamine (Õismäe tee 130, Punane tn 17b)</t>
  </si>
  <si>
    <t>Lasnamäe sauna (Pae tn 19) ehitamine ja soetused</t>
  </si>
  <si>
    <t>Maade, kinnistute ja asjaõiguste omandamine (Ehitajate tee 112, Narva mnt 28 jt)</t>
  </si>
  <si>
    <t>Valdeku tn 13 hoone investeeringud</t>
  </si>
  <si>
    <t>Vene tn 12 keldrikorruse renoveerimine</t>
  </si>
  <si>
    <t>Turgude arendamine</t>
  </si>
  <si>
    <t>Tammsaare pargi projekteerimine ja rekonstrueerimine (projekt)</t>
  </si>
  <si>
    <t>Kadrioru pargi rajatised ja soetused</t>
  </si>
  <si>
    <t>Linnamööbli soetamine (prügikastid, pingid)</t>
  </si>
  <si>
    <t>Mänguväljakute rajamine ja renoveerimine</t>
  </si>
  <si>
    <t>Aegna saare rajatiste rekonstrueerimine ja soetused tuleohutusnõuete täitmiseks</t>
  </si>
  <si>
    <t>Keskkonna valdkonna asutuste remonttööd ja soetused</t>
  </si>
  <si>
    <t>Haabersti skatepargi rajamine</t>
  </si>
  <si>
    <t>Ekstreemspordiväljaku rajamine Kanutiaia parki</t>
  </si>
  <si>
    <t>Lastemänguväljaku rajamine Kollane tn 16</t>
  </si>
  <si>
    <t>Tondiloo pargi arendamine (Linnamäe tee 28a)</t>
  </si>
  <si>
    <t>Tallinna Kalmistute investeeringud</t>
  </si>
  <si>
    <t>Vanalinna jõuludekoratsioonide soetamine</t>
  </si>
  <si>
    <t>Ootekodade soetamine</t>
  </si>
  <si>
    <t>Transpordiameti soetused</t>
  </si>
  <si>
    <t>Välisrahastuseta teede kapitaalremont ja rekonstrueerimine</t>
  </si>
  <si>
    <t>kvartalisiseste teede taastusremont</t>
  </si>
  <si>
    <t>Kalaranna tn (Põhja pst- Tööstuse tn)</t>
  </si>
  <si>
    <t>Paepargi tn II etapp</t>
  </si>
  <si>
    <t>Suur-Sõjamäe tn (lõigus J.Smuuli tee – linna piir)</t>
  </si>
  <si>
    <t>Hiiu tn (Vabaduse pst - Raudtee tn)</t>
  </si>
  <si>
    <t>Majaka tn (Lasnamäe tn - Peterburi tee)</t>
  </si>
  <si>
    <t>Laagna tee Raadiku tänava viadukt</t>
  </si>
  <si>
    <t>Valdeku tn (Vabaduse pst - Männiku tee)</t>
  </si>
  <si>
    <t>A.H.Tammsaare tee (Pärnu mnt - Tondi tn)</t>
  </si>
  <si>
    <t>Tartu mnt (Odra tn - Pallasti tn)</t>
  </si>
  <si>
    <t>Akadeemia tee (Ehitajate tee - Kadaka tee)</t>
  </si>
  <si>
    <t>Õismäe tee II etapp</t>
  </si>
  <si>
    <t>Viru tn viimine ühele tasapinnale</t>
  </si>
  <si>
    <t>Haabersti ristmiku II etapi omaosalus (Rannamõisa tee)</t>
  </si>
  <si>
    <t>Betoontee katselõik</t>
  </si>
  <si>
    <t>Kase tn</t>
  </si>
  <si>
    <t>muud teed ja tänavad</t>
  </si>
  <si>
    <t>Tänavavalgustuse ehitus ja renoveerimine</t>
  </si>
  <si>
    <t>Fooriobjektide rajamine</t>
  </si>
  <si>
    <t>Foorijuhtimiskeskuse soetused</t>
  </si>
  <si>
    <t>Maade, kinnistute ja asjaõiguste omandamine (teede ehituseks vajalikud objektid)</t>
  </si>
  <si>
    <t>Geoinfosüsteemide arendamine ja soetused</t>
  </si>
  <si>
    <t>Tallinna Linnavolikogu istungite saali interneti videoülekannete süsteemi uuendamine</t>
  </si>
  <si>
    <t>Linnaarhiivile raamatute soetamine</t>
  </si>
  <si>
    <t>Linna haldushoonete ehitus- ja remonttööd ning soetused (Vabaduse v 7 ja 10, Raekoja plats 1, Vana-Viru tn 12)</t>
  </si>
  <si>
    <t>Tallinna Linnavolikogu istungite saali hääletussüsteemi soetused</t>
  </si>
  <si>
    <t>Kristiine Linnaosa Valitsuse investeeringud</t>
  </si>
  <si>
    <t>sh Tulika tn 33b haldushoone peasissekäigu trepi ja kaldtee renoveerimine</t>
  </si>
  <si>
    <t>IT riist- ja tarkvara soetused</t>
  </si>
  <si>
    <t>III ANTAV SIHTFINANTSEERIMINE INVESTEERIMISTEGEVUSEKS***</t>
  </si>
  <si>
    <t>Investeerimistoetused kokku</t>
  </si>
  <si>
    <t>Kultuurikatla rekonstrueerimise lõpetamine (2014-2015)</t>
  </si>
  <si>
    <t>Kultuurikatla rekonstrueerimine</t>
  </si>
  <si>
    <t>Tallinna avamine merele</t>
  </si>
  <si>
    <t>Linnaruum Kultuurikatlas</t>
  </si>
  <si>
    <t>Linnahalli ehitusekspertiis</t>
  </si>
  <si>
    <t>Pirita sadamaala süvendamine</t>
  </si>
  <si>
    <t>Trammiliinide nr 3 ja 4 taristu rekonstrueerimine</t>
  </si>
  <si>
    <t>Sademevee kanalisatsiooni ehitus</t>
  </si>
  <si>
    <t>Ühisveevärgi ja -kanalisatsiooni ehitus</t>
  </si>
  <si>
    <t xml:space="preserve">KOKKU INVESTEERIMISPROJEKTID JA ANTAV SIHTFINANTSEERIMINE INVESTEERIMISTEGEVUSEKS </t>
  </si>
  <si>
    <t>(I+II+III)</t>
  </si>
  <si>
    <t>IV MUUDATUSED AKTSIAKAPITALIS</t>
  </si>
  <si>
    <t>AS Tallinna Tööstuspargid</t>
  </si>
  <si>
    <t>V  ERA- JA AVALIKU SEKTORI KOOSTÖÖPROJEKTID***</t>
  </si>
  <si>
    <t>tegevuskulud</t>
  </si>
  <si>
    <t>finantseerimistehingud</t>
  </si>
  <si>
    <t>Era- ja avaliku sektori koostööprojektid kokku</t>
  </si>
  <si>
    <t>V  2014. AASTAST ÜLEKANTAVAD KULUTUSED</t>
  </si>
  <si>
    <t>Investeerimisprojektid</t>
  </si>
  <si>
    <t>Antav sihtfinantseerimistoetus investeerimistegevuseks</t>
  </si>
  <si>
    <t xml:space="preserve">Investeerimistegevus koondeelarves kokku (I, II, III, IV ja V) </t>
  </si>
  <si>
    <t>INVESTEERIMISPROJEKTID:</t>
  </si>
  <si>
    <t>Valdkondlik jaotus:</t>
  </si>
  <si>
    <t>Transport</t>
  </si>
  <si>
    <t>Tallinna linna 2015. aasta teine lisaeelarve (Tallinna Linnavolikogu 12.11.2015 määrus nr 23)</t>
  </si>
  <si>
    <t>RAHAKÄIBE PROGNOOS</t>
  </si>
  <si>
    <t xml:space="preserve">Laekumised haldustegevusest </t>
  </si>
  <si>
    <t xml:space="preserve"> Tulude laekumine</t>
  </si>
  <si>
    <t xml:space="preserve">  Maksud</t>
  </si>
  <si>
    <t xml:space="preserve">   sh tulumaks</t>
  </si>
  <si>
    <t xml:space="preserve">        maamaks</t>
  </si>
  <si>
    <t xml:space="preserve">        kohalikud maksud</t>
  </si>
  <si>
    <t xml:space="preserve"> Tegevustulu</t>
  </si>
  <si>
    <t xml:space="preserve"> Muud tulud</t>
  </si>
  <si>
    <t xml:space="preserve"> Toetused</t>
  </si>
  <si>
    <t xml:space="preserve">  sh riigilt</t>
  </si>
  <si>
    <t xml:space="preserve">       välisrahastus</t>
  </si>
  <si>
    <t>Väljamaksed haldustegevuseks</t>
  </si>
  <si>
    <t xml:space="preserve">   sh tegevuskulu</t>
  </si>
  <si>
    <t xml:space="preserve">       finantskulud</t>
  </si>
  <si>
    <t xml:space="preserve">Haldustegevus kokku </t>
  </si>
  <si>
    <t xml:space="preserve">Laekumised investeerimistegevusest </t>
  </si>
  <si>
    <t xml:space="preserve">   sh põhivara müük</t>
  </si>
  <si>
    <t xml:space="preserve">       aktsiakapitali vähendamine</t>
  </si>
  <si>
    <t xml:space="preserve">       saadud dividendid</t>
  </si>
  <si>
    <t xml:space="preserve">       finantstulu</t>
  </si>
  <si>
    <t>Väljamaksed investeerimistegevuseks</t>
  </si>
  <si>
    <t xml:space="preserve">   sh põhivara soetamine</t>
  </si>
  <si>
    <t xml:space="preserve">   sh aktsiakapitali suurendamine</t>
  </si>
  <si>
    <t xml:space="preserve">Investeerimistegevus kokku </t>
  </si>
  <si>
    <t>Laekumised finantseerimistegevusest</t>
  </si>
  <si>
    <t xml:space="preserve">  sh eelarvelaenu võtmine/võlakirjade emiteerimine</t>
  </si>
  <si>
    <t>Väljamaksed finantseerimistegevuseks</t>
  </si>
  <si>
    <t xml:space="preserve">  sh eelarvelaenu tagastamine/võlakirjade tagasiostmine</t>
  </si>
  <si>
    <t xml:space="preserve">      kapitalirendi põhiosa maksed</t>
  </si>
  <si>
    <t xml:space="preserve">Finantseerimistegevus kokku </t>
  </si>
  <si>
    <t>Laekumised kokku</t>
  </si>
  <si>
    <t>Väljamaksed kokku</t>
  </si>
  <si>
    <t>Laekumiste ja väljamaksete 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</si>
</sst>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00"/>
    <numFmt numFmtId="165" formatCode="#,##0.0"/>
    <numFmt numFmtId="166" formatCode="_-* #,##0.00\ _k_r_-;\-* #,##0.00\ _k_r_-;_-* \-??\ _k_r_-;_-@_-"/>
  </numFmts>
  <fonts count="93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9"/>
      <name val="Arial"/>
      <family val="2"/>
      <charset val="186"/>
    </font>
    <font>
      <sz val="10"/>
      <color indexed="20"/>
      <name val="Arial"/>
      <family val="2"/>
      <charset val="186"/>
    </font>
    <font>
      <b/>
      <sz val="10"/>
      <color indexed="52"/>
      <name val="Arial"/>
      <family val="2"/>
      <charset val="186"/>
    </font>
    <font>
      <b/>
      <sz val="10"/>
      <color indexed="9"/>
      <name val="Arial"/>
      <family val="2"/>
      <charset val="186"/>
    </font>
    <font>
      <i/>
      <sz val="10"/>
      <color indexed="23"/>
      <name val="Arial"/>
      <family val="2"/>
      <charset val="186"/>
    </font>
    <font>
      <sz val="10"/>
      <color indexed="17"/>
      <name val="Arial"/>
      <family val="2"/>
      <charset val="186"/>
    </font>
    <font>
      <b/>
      <sz val="15"/>
      <color indexed="56"/>
      <name val="Arial"/>
      <family val="2"/>
      <charset val="186"/>
    </font>
    <font>
      <b/>
      <sz val="13"/>
      <color indexed="56"/>
      <name val="Arial"/>
      <family val="2"/>
      <charset val="186"/>
    </font>
    <font>
      <b/>
      <sz val="11"/>
      <color indexed="56"/>
      <name val="Arial"/>
      <family val="2"/>
      <charset val="186"/>
    </font>
    <font>
      <u/>
      <sz val="10"/>
      <color indexed="12"/>
      <name val="Arial"/>
      <family val="2"/>
      <charset val="186"/>
    </font>
    <font>
      <sz val="10"/>
      <color indexed="62"/>
      <name val="Arial"/>
      <family val="2"/>
      <charset val="186"/>
    </font>
    <font>
      <sz val="10"/>
      <color indexed="52"/>
      <name val="Arial"/>
      <family val="2"/>
      <charset val="186"/>
    </font>
    <font>
      <sz val="10"/>
      <color indexed="60"/>
      <name val="Arial"/>
      <family val="2"/>
      <charset val="186"/>
    </font>
    <font>
      <sz val="10"/>
      <name val="Arial"/>
      <family val="2"/>
      <charset val="186"/>
    </font>
    <font>
      <b/>
      <sz val="10"/>
      <color indexed="63"/>
      <name val="Arial"/>
      <family val="2"/>
      <charset val="186"/>
    </font>
    <font>
      <b/>
      <sz val="18"/>
      <color indexed="56"/>
      <name val="Cambria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10"/>
      <name val="Arial"/>
      <family val="2"/>
      <charset val="186"/>
    </font>
    <font>
      <sz val="8"/>
      <name val="Arial"/>
      <family val="2"/>
      <charset val="186"/>
    </font>
    <font>
      <b/>
      <sz val="11"/>
      <name val="Arial"/>
      <family val="2"/>
    </font>
    <font>
      <b/>
      <sz val="10"/>
      <name val="Arial"/>
      <family val="2"/>
      <charset val="186"/>
    </font>
    <font>
      <i/>
      <sz val="10"/>
      <name val="Arial"/>
      <family val="2"/>
      <charset val="186"/>
    </font>
    <font>
      <i/>
      <u/>
      <sz val="10"/>
      <name val="Arial"/>
      <family val="2"/>
      <charset val="186"/>
    </font>
    <font>
      <sz val="8"/>
      <name val="Arial"/>
      <family val="2"/>
      <charset val="186"/>
    </font>
    <font>
      <sz val="10"/>
      <name val="Courier"/>
      <family val="1"/>
      <charset val="186"/>
    </font>
    <font>
      <b/>
      <sz val="11"/>
      <name val="Arial"/>
      <family val="2"/>
      <charset val="186"/>
    </font>
    <font>
      <b/>
      <i/>
      <sz val="10"/>
      <name val="Arial"/>
      <family val="2"/>
      <charset val="186"/>
    </font>
    <font>
      <b/>
      <u/>
      <sz val="10"/>
      <name val="Arial"/>
      <family val="2"/>
      <charset val="186"/>
    </font>
    <font>
      <b/>
      <sz val="12"/>
      <name val="Arial"/>
      <family val="2"/>
      <charset val="186"/>
    </font>
    <font>
      <u/>
      <sz val="10"/>
      <name val="Arial"/>
      <family val="2"/>
      <charset val="186"/>
    </font>
    <font>
      <i/>
      <sz val="8"/>
      <name val="Arial"/>
      <family val="2"/>
      <charset val="186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Courier"/>
      <family val="3"/>
    </font>
    <font>
      <sz val="12"/>
      <name val="Arial"/>
      <family val="2"/>
      <charset val="186"/>
    </font>
    <font>
      <i/>
      <sz val="9"/>
      <name val="Arial"/>
      <family val="2"/>
      <charset val="186"/>
    </font>
    <font>
      <sz val="8"/>
      <name val="Arial"/>
      <family val="2"/>
    </font>
    <font>
      <sz val="9"/>
      <name val="Arial"/>
      <family val="2"/>
      <charset val="186"/>
    </font>
    <font>
      <b/>
      <i/>
      <sz val="11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9"/>
      <name val="Calibri"/>
      <family val="2"/>
      <charset val="186"/>
    </font>
    <font>
      <i/>
      <sz val="9"/>
      <name val="Arial"/>
      <family val="2"/>
    </font>
    <font>
      <i/>
      <u/>
      <sz val="10"/>
      <name val="Arial"/>
      <family val="2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name val="Mangal"/>
      <family val="2"/>
    </font>
    <font>
      <u/>
      <sz val="8.5"/>
      <color indexed="12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name val="Times New Roman"/>
      <family val="1"/>
      <charset val="186"/>
    </font>
    <font>
      <i/>
      <sz val="10"/>
      <color rgb="FF7030A0"/>
      <name val="Arial"/>
      <family val="2"/>
    </font>
    <font>
      <sz val="10"/>
      <color rgb="FF7030A0"/>
      <name val="Arial"/>
      <family val="2"/>
    </font>
    <font>
      <sz val="9"/>
      <color theme="3" tint="0.39997558519241921"/>
      <name val="Arial"/>
      <family val="2"/>
      <charset val="186"/>
    </font>
    <font>
      <b/>
      <sz val="10"/>
      <color theme="3" tint="0.39997558519241921"/>
      <name val="Arial"/>
      <family val="2"/>
      <charset val="186"/>
    </font>
    <font>
      <sz val="10"/>
      <color theme="3" tint="0.39997558519241921"/>
      <name val="Arial"/>
      <family val="2"/>
      <charset val="186"/>
    </font>
    <font>
      <i/>
      <sz val="9"/>
      <color theme="3" tint="0.39997558519241921"/>
      <name val="Arial"/>
      <family val="2"/>
      <charset val="186"/>
    </font>
    <font>
      <i/>
      <sz val="8"/>
      <color theme="3" tint="0.39997558519241921"/>
      <name val="Arial"/>
      <family val="2"/>
      <charset val="186"/>
    </font>
    <font>
      <sz val="10"/>
      <color rgb="FFFF0000"/>
      <name val="Arial"/>
      <family val="2"/>
      <charset val="186"/>
    </font>
    <font>
      <sz val="11"/>
      <name val="Arial"/>
      <family val="2"/>
      <charset val="186"/>
    </font>
    <font>
      <u/>
      <sz val="10"/>
      <name val="Arial"/>
      <family val="2"/>
    </font>
    <font>
      <b/>
      <sz val="8"/>
      <name val="Arial"/>
      <family val="2"/>
      <charset val="186"/>
    </font>
    <font>
      <b/>
      <i/>
      <sz val="9"/>
      <name val="Arial"/>
      <family val="2"/>
      <charset val="186"/>
    </font>
    <font>
      <u/>
      <sz val="9"/>
      <name val="Arial"/>
      <family val="2"/>
      <charset val="186"/>
    </font>
    <font>
      <b/>
      <sz val="8"/>
      <name val="Times New Roman"/>
      <family val="1"/>
      <charset val="186"/>
    </font>
    <font>
      <b/>
      <i/>
      <sz val="8"/>
      <name val="Arial"/>
      <family val="2"/>
      <charset val="186"/>
    </font>
    <font>
      <u/>
      <sz val="10"/>
      <color theme="10"/>
      <name val="Arial"/>
      <family val="2"/>
      <charset val="186"/>
    </font>
    <font>
      <b/>
      <sz val="9"/>
      <name val="Arial"/>
      <family val="2"/>
      <charset val="186"/>
    </font>
    <font>
      <b/>
      <sz val="10"/>
      <color rgb="FFFF0000"/>
      <name val="Arial"/>
      <family val="2"/>
      <charset val="186"/>
    </font>
    <font>
      <sz val="10"/>
      <color theme="3"/>
      <name val="Arial"/>
      <family val="2"/>
      <charset val="186"/>
    </font>
    <font>
      <b/>
      <u/>
      <sz val="9"/>
      <name val="Arial"/>
      <family val="2"/>
      <charset val="186"/>
    </font>
    <font>
      <sz val="8"/>
      <color theme="3"/>
      <name val="Arial"/>
      <family val="2"/>
      <charset val="186"/>
    </font>
    <font>
      <sz val="9"/>
      <name val="Arial"/>
      <family val="2"/>
    </font>
    <font>
      <b/>
      <sz val="9"/>
      <name val="Arial"/>
      <family val="2"/>
    </font>
    <font>
      <sz val="8"/>
      <color rgb="FFFF0000"/>
      <name val="Arial"/>
      <family val="2"/>
      <charset val="186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5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4" fillId="0" borderId="0"/>
    <xf numFmtId="0" fontId="30" fillId="0" borderId="0"/>
    <xf numFmtId="0" fontId="40" fillId="0" borderId="0"/>
    <xf numFmtId="0" fontId="41" fillId="0" borderId="0"/>
    <xf numFmtId="0" fontId="41" fillId="0" borderId="0"/>
    <xf numFmtId="0" fontId="19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/>
    <xf numFmtId="0" fontId="46" fillId="4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4" fillId="0" borderId="0"/>
    <xf numFmtId="0" fontId="4" fillId="0" borderId="0"/>
    <xf numFmtId="0" fontId="4" fillId="23" borderId="7" applyNumberFormat="0" applyFont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53" fillId="3" borderId="0" applyNumberFormat="0" applyBorder="0" applyAlignment="0" applyProtection="0"/>
    <xf numFmtId="0" fontId="54" fillId="20" borderId="1" applyNumberFormat="0" applyAlignment="0" applyProtection="0"/>
    <xf numFmtId="0" fontId="55" fillId="21" borderId="2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65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46" fillId="24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0" fillId="7" borderId="1" applyNumberFormat="0" applyAlignment="0" applyProtection="0"/>
    <xf numFmtId="0" fontId="61" fillId="0" borderId="6" applyNumberFormat="0" applyFill="0" applyAlignment="0" applyProtection="0"/>
    <xf numFmtId="0" fontId="62" fillId="22" borderId="0" applyNumberFormat="0" applyBorder="0" applyAlignment="0" applyProtection="0"/>
    <xf numFmtId="0" fontId="4" fillId="0" borderId="0"/>
    <xf numFmtId="0" fontId="4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5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8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51" fillId="23" borderId="7" applyNumberFormat="0" applyFont="0" applyAlignment="0" applyProtection="0"/>
    <xf numFmtId="0" fontId="63" fillId="20" borderId="8" applyNumberFormat="0" applyAlignment="0" applyProtection="0"/>
    <xf numFmtId="9" fontId="4" fillId="0" borderId="0" applyFont="0" applyFill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2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50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84" fillId="0" borderId="0" applyNumberFormat="0" applyFill="0" applyBorder="0" applyAlignment="0" applyProtection="0"/>
    <xf numFmtId="0" fontId="1" fillId="0" borderId="0"/>
  </cellStyleXfs>
  <cellXfs count="667">
    <xf numFmtId="0" fontId="0" fillId="0" borderId="0" xfId="0"/>
    <xf numFmtId="0" fontId="25" fillId="0" borderId="0" xfId="0" applyFont="1" applyFill="1" applyBorder="1"/>
    <xf numFmtId="3" fontId="26" fillId="0" borderId="0" xfId="0" applyNumberFormat="1" applyFont="1" applyFill="1" applyBorder="1" applyAlignment="1">
      <alignment vertical="top"/>
    </xf>
    <xf numFmtId="0" fontId="26" fillId="0" borderId="0" xfId="0" applyFont="1" applyFill="1"/>
    <xf numFmtId="0" fontId="4" fillId="0" borderId="0" xfId="0" applyFont="1" applyFill="1" applyBorder="1" applyAlignment="1">
      <alignment horizontal="left" vertical="top"/>
    </xf>
    <xf numFmtId="3" fontId="27" fillId="0" borderId="0" xfId="0" applyNumberFormat="1" applyFont="1" applyFill="1" applyAlignment="1">
      <alignment vertical="top"/>
    </xf>
    <xf numFmtId="0" fontId="4" fillId="0" borderId="0" xfId="0" applyFont="1" applyFill="1"/>
    <xf numFmtId="3" fontId="26" fillId="0" borderId="0" xfId="0" applyNumberFormat="1" applyFont="1" applyFill="1" applyBorder="1"/>
    <xf numFmtId="0" fontId="4" fillId="0" borderId="0" xfId="0" applyFont="1" applyFill="1" applyAlignment="1">
      <alignment horizontal="left" indent="2"/>
    </xf>
    <xf numFmtId="0" fontId="4" fillId="0" borderId="0" xfId="0" applyFont="1" applyFill="1" applyBorder="1" applyAlignment="1">
      <alignment horizontal="left" indent="2"/>
    </xf>
    <xf numFmtId="3" fontId="25" fillId="0" borderId="0" xfId="0" applyNumberFormat="1" applyFont="1" applyFill="1" applyBorder="1" applyAlignment="1"/>
    <xf numFmtId="3" fontId="4" fillId="0" borderId="0" xfId="0" applyNumberFormat="1" applyFont="1" applyFill="1" applyAlignment="1"/>
    <xf numFmtId="3" fontId="26" fillId="0" borderId="0" xfId="0" applyNumberFormat="1" applyFont="1" applyFill="1" applyAlignment="1"/>
    <xf numFmtId="3" fontId="27" fillId="0" borderId="0" xfId="0" applyNumberFormat="1" applyFont="1" applyFill="1"/>
    <xf numFmtId="0" fontId="4" fillId="0" borderId="0" xfId="0" applyFont="1"/>
    <xf numFmtId="0" fontId="26" fillId="0" borderId="0" xfId="0" applyFont="1" applyFill="1" applyBorder="1"/>
    <xf numFmtId="0" fontId="19" fillId="0" borderId="0" xfId="0" applyFont="1" applyFill="1" applyBorder="1" applyAlignment="1">
      <alignment horizontal="left" indent="1"/>
    </xf>
    <xf numFmtId="2" fontId="27" fillId="0" borderId="0" xfId="0" applyNumberFormat="1" applyFont="1" applyFill="1" applyBorder="1" applyAlignment="1">
      <alignment horizontal="left" indent="2"/>
    </xf>
    <xf numFmtId="3" fontId="26" fillId="0" borderId="0" xfId="0" applyNumberFormat="1" applyFont="1" applyFill="1"/>
    <xf numFmtId="0" fontId="31" fillId="0" borderId="0" xfId="0" applyFont="1" applyFill="1" applyBorder="1"/>
    <xf numFmtId="0" fontId="4" fillId="0" borderId="0" xfId="0" applyFont="1" applyFill="1" applyBorder="1"/>
    <xf numFmtId="0" fontId="37" fillId="0" borderId="0" xfId="0" applyFont="1" applyFill="1" applyBorder="1"/>
    <xf numFmtId="3" fontId="37" fillId="0" borderId="0" xfId="0" applyNumberFormat="1" applyFont="1" applyFill="1" applyBorder="1"/>
    <xf numFmtId="3" fontId="4" fillId="0" borderId="0" xfId="0" applyNumberFormat="1" applyFont="1" applyFill="1" applyBorder="1"/>
    <xf numFmtId="3" fontId="27" fillId="0" borderId="0" xfId="0" applyNumberFormat="1" applyFont="1" applyFill="1" applyBorder="1"/>
    <xf numFmtId="0" fontId="38" fillId="0" borderId="0" xfId="0" applyFont="1" applyFill="1" applyBorder="1"/>
    <xf numFmtId="3" fontId="38" fillId="0" borderId="0" xfId="0" applyNumberFormat="1" applyFont="1" applyFill="1" applyBorder="1"/>
    <xf numFmtId="0" fontId="39" fillId="0" borderId="0" xfId="0" applyFont="1" applyFill="1" applyBorder="1" applyAlignment="1">
      <alignment horizontal="left" indent="2"/>
    </xf>
    <xf numFmtId="2" fontId="39" fillId="0" borderId="0" xfId="0" applyNumberFormat="1" applyFont="1" applyFill="1" applyBorder="1" applyAlignment="1">
      <alignment horizontal="left" indent="2"/>
    </xf>
    <xf numFmtId="165" fontId="31" fillId="0" borderId="0" xfId="40" applyNumberFormat="1" applyFont="1" applyFill="1" applyBorder="1" applyAlignment="1">
      <alignment horizontal="left" wrapText="1"/>
    </xf>
    <xf numFmtId="0" fontId="42" fillId="0" borderId="0" xfId="0" applyFont="1" applyFill="1" applyBorder="1"/>
    <xf numFmtId="0" fontId="27" fillId="0" borderId="0" xfId="40" applyNumberFormat="1" applyFont="1" applyFill="1" applyBorder="1" applyAlignment="1" applyProtection="1">
      <alignment horizontal="left" vertical="top" wrapText="1" indent="2"/>
    </xf>
    <xf numFmtId="0" fontId="41" fillId="0" borderId="0" xfId="0" applyFont="1" applyFill="1"/>
    <xf numFmtId="0" fontId="32" fillId="0" borderId="0" xfId="40" applyFont="1" applyFill="1" applyBorder="1" applyAlignment="1" applyProtection="1">
      <alignment horizontal="left" vertical="top" indent="1"/>
    </xf>
    <xf numFmtId="0" fontId="34" fillId="0" borderId="0" xfId="40" applyNumberFormat="1" applyFont="1" applyFill="1" applyBorder="1" applyAlignment="1">
      <alignment horizontal="left"/>
    </xf>
    <xf numFmtId="0" fontId="27" fillId="0" borderId="0" xfId="40" applyNumberFormat="1" applyFont="1" applyFill="1" applyBorder="1" applyAlignment="1" applyProtection="1">
      <alignment horizontal="left" indent="1"/>
    </xf>
    <xf numFmtId="0" fontId="27" fillId="0" borderId="0" xfId="40" applyNumberFormat="1" applyFont="1" applyFill="1" applyBorder="1" applyAlignment="1" applyProtection="1">
      <alignment horizontal="left" indent="2"/>
    </xf>
    <xf numFmtId="0" fontId="44" fillId="0" borderId="0" xfId="0" applyFont="1" applyBorder="1"/>
    <xf numFmtId="0" fontId="44" fillId="0" borderId="0" xfId="0" applyFont="1" applyBorder="1" applyAlignment="1">
      <alignment wrapText="1"/>
    </xf>
    <xf numFmtId="3" fontId="4" fillId="0" borderId="0" xfId="0" applyNumberFormat="1" applyFont="1"/>
    <xf numFmtId="0" fontId="26" fillId="0" borderId="0" xfId="0" applyNumberFormat="1" applyFont="1" applyFill="1" applyAlignment="1">
      <alignment horizontal="left" vertical="top"/>
    </xf>
    <xf numFmtId="0" fontId="34" fillId="0" borderId="0" xfId="0" applyNumberFormat="1" applyFont="1" applyFill="1" applyAlignment="1">
      <alignment horizontal="left" vertical="top"/>
    </xf>
    <xf numFmtId="3" fontId="34" fillId="0" borderId="0" xfId="0" applyNumberFormat="1" applyFont="1" applyFill="1" applyAlignment="1">
      <alignment vertical="top"/>
    </xf>
    <xf numFmtId="3" fontId="32" fillId="0" borderId="0" xfId="0" applyNumberFormat="1" applyFont="1" applyFill="1" applyAlignment="1">
      <alignment vertical="top"/>
    </xf>
    <xf numFmtId="165" fontId="32" fillId="0" borderId="0" xfId="0" applyNumberFormat="1" applyFont="1" applyFill="1" applyAlignment="1">
      <alignment vertical="top"/>
    </xf>
    <xf numFmtId="165" fontId="26" fillId="0" borderId="0" xfId="0" applyNumberFormat="1" applyFont="1" applyFill="1" applyAlignment="1">
      <alignment vertical="top"/>
    </xf>
    <xf numFmtId="0" fontId="45" fillId="0" borderId="0" xfId="0" applyFont="1" applyFill="1" applyBorder="1"/>
    <xf numFmtId="3" fontId="35" fillId="0" borderId="0" xfId="0" applyNumberFormat="1" applyFont="1" applyBorder="1" applyAlignment="1"/>
    <xf numFmtId="3" fontId="26" fillId="0" borderId="0" xfId="0" applyNumberFormat="1" applyFont="1" applyBorder="1" applyAlignment="1"/>
    <xf numFmtId="0" fontId="44" fillId="0" borderId="0" xfId="0" applyFont="1" applyBorder="1" applyAlignment="1">
      <alignment horizontal="left" wrapText="1"/>
    </xf>
    <xf numFmtId="3" fontId="44" fillId="0" borderId="0" xfId="0" applyNumberFormat="1" applyFont="1" applyBorder="1" applyAlignment="1"/>
    <xf numFmtId="0" fontId="24" fillId="0" borderId="0" xfId="0" applyFont="1" applyFill="1" applyBorder="1" applyAlignment="1" applyProtection="1">
      <alignment horizontal="left" vertical="top" wrapText="1"/>
      <protection locked="0"/>
    </xf>
    <xf numFmtId="0" fontId="35" fillId="0" borderId="0" xfId="0" applyFont="1" applyBorder="1"/>
    <xf numFmtId="3" fontId="44" fillId="0" borderId="0" xfId="0" applyNumberFormat="1" applyFont="1" applyBorder="1" applyAlignment="1">
      <alignment vertical="top"/>
    </xf>
    <xf numFmtId="3" fontId="0" fillId="0" borderId="0" xfId="0" applyNumberFormat="1" applyFill="1" applyBorder="1"/>
    <xf numFmtId="0" fontId="38" fillId="0" borderId="0" xfId="0" applyFont="1" applyFill="1" applyBorder="1" applyAlignment="1">
      <alignment horizontal="left" indent="1"/>
    </xf>
    <xf numFmtId="0" fontId="44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0" borderId="0" xfId="0"/>
    <xf numFmtId="0" fontId="38" fillId="0" borderId="0" xfId="0" applyFont="1" applyFill="1"/>
    <xf numFmtId="0" fontId="44" fillId="0" borderId="0" xfId="0" applyFont="1" applyFill="1" applyBorder="1" applyAlignment="1">
      <alignment wrapText="1"/>
    </xf>
    <xf numFmtId="3" fontId="4" fillId="0" borderId="0" xfId="0" applyNumberFormat="1" applyFont="1" applyFill="1"/>
    <xf numFmtId="3" fontId="39" fillId="0" borderId="0" xfId="0" applyNumberFormat="1" applyFont="1" applyFill="1" applyBorder="1"/>
    <xf numFmtId="14" fontId="26" fillId="0" borderId="0" xfId="0" applyNumberFormat="1" applyFont="1" applyFill="1" applyBorder="1" applyAlignment="1">
      <alignment horizontal="left"/>
    </xf>
    <xf numFmtId="3" fontId="0" fillId="0" borderId="0" xfId="0" applyNumberFormat="1" applyBorder="1"/>
    <xf numFmtId="0" fontId="4" fillId="0" borderId="0" xfId="0" applyFont="1" applyBorder="1" applyAlignment="1">
      <alignment horizontal="left" indent="1"/>
    </xf>
    <xf numFmtId="0" fontId="35" fillId="0" borderId="0" xfId="0" applyFont="1" applyBorder="1" applyAlignment="1">
      <alignment horizontal="left" indent="2"/>
    </xf>
    <xf numFmtId="0" fontId="4" fillId="0" borderId="0" xfId="0" applyFont="1" applyFill="1" applyBorder="1" applyAlignment="1">
      <alignment horizontal="left" indent="1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left" vertical="top"/>
    </xf>
    <xf numFmtId="3" fontId="4" fillId="0" borderId="0" xfId="0" applyNumberFormat="1" applyFont="1" applyFill="1" applyBorder="1" applyAlignment="1">
      <alignment vertical="top"/>
    </xf>
    <xf numFmtId="3" fontId="4" fillId="0" borderId="0" xfId="0" applyNumberFormat="1" applyFont="1" applyFill="1" applyAlignment="1">
      <alignment vertical="top"/>
    </xf>
    <xf numFmtId="3" fontId="4" fillId="0" borderId="0" xfId="0" applyNumberFormat="1" applyFont="1" applyBorder="1" applyAlignment="1"/>
    <xf numFmtId="0" fontId="4" fillId="0" borderId="0" xfId="0" applyFont="1" applyFill="1" applyBorder="1" applyAlignment="1" applyProtection="1">
      <alignment horizontal="left" vertical="top" wrapText="1" indent="4"/>
      <protection locked="0"/>
    </xf>
    <xf numFmtId="49" fontId="44" fillId="0" borderId="0" xfId="0" applyNumberFormat="1" applyFont="1" applyBorder="1" applyAlignment="1">
      <alignment wrapText="1"/>
    </xf>
    <xf numFmtId="0" fontId="24" fillId="0" borderId="0" xfId="39" applyNumberFormat="1" applyFont="1" applyFill="1" applyBorder="1" applyAlignment="1" applyProtection="1">
      <alignment horizontal="left" vertical="top" wrapText="1" indent="4"/>
    </xf>
    <xf numFmtId="0" fontId="34" fillId="0" borderId="0" xfId="40" applyFont="1" applyFill="1" applyBorder="1" applyAlignment="1" applyProtection="1">
      <alignment horizontal="left" vertical="top"/>
    </xf>
    <xf numFmtId="0" fontId="26" fillId="0" borderId="0" xfId="40" applyFont="1" applyFill="1" applyBorder="1" applyAlignment="1" applyProtection="1">
      <alignment horizontal="left" vertical="top"/>
    </xf>
    <xf numFmtId="0" fontId="27" fillId="0" borderId="0" xfId="40" applyFont="1" applyFill="1" applyBorder="1" applyAlignment="1" applyProtection="1">
      <alignment horizontal="left" vertical="top" indent="1"/>
    </xf>
    <xf numFmtId="3" fontId="27" fillId="0" borderId="0" xfId="0" applyNumberFormat="1" applyFont="1" applyFill="1" applyAlignment="1">
      <alignment horizontal="right" vertical="top"/>
    </xf>
    <xf numFmtId="0" fontId="26" fillId="0" borderId="0" xfId="40" applyFont="1" applyFill="1" applyBorder="1" applyAlignment="1">
      <alignment horizontal="left" vertical="top"/>
    </xf>
    <xf numFmtId="0" fontId="27" fillId="0" borderId="0" xfId="40" applyFont="1" applyFill="1" applyBorder="1" applyAlignment="1" applyProtection="1">
      <alignment horizontal="left" vertical="top" indent="2"/>
    </xf>
    <xf numFmtId="3" fontId="4" fillId="0" borderId="0" xfId="0" applyNumberFormat="1" applyFont="1" applyFill="1" applyAlignment="1">
      <alignment horizontal="right" vertical="top"/>
    </xf>
    <xf numFmtId="0" fontId="35" fillId="0" borderId="0" xfId="40" applyFont="1" applyFill="1" applyBorder="1" applyAlignment="1" applyProtection="1">
      <alignment horizontal="left" vertical="top"/>
    </xf>
    <xf numFmtId="0" fontId="42" fillId="0" borderId="0" xfId="40" applyFont="1" applyFill="1" applyBorder="1" applyAlignment="1" applyProtection="1">
      <alignment horizontal="left" vertical="top" indent="1"/>
    </xf>
    <xf numFmtId="3" fontId="42" fillId="0" borderId="0" xfId="0" applyNumberFormat="1" applyFont="1" applyFill="1" applyAlignment="1">
      <alignment horizontal="right" vertical="top"/>
    </xf>
    <xf numFmtId="0" fontId="27" fillId="0" borderId="0" xfId="40" applyFont="1" applyFill="1" applyBorder="1" applyAlignment="1" applyProtection="1">
      <alignment horizontal="left" vertical="top"/>
    </xf>
    <xf numFmtId="0" fontId="35" fillId="0" borderId="0" xfId="42" applyFont="1" applyFill="1" applyBorder="1" applyAlignment="1">
      <alignment horizontal="left" vertical="top"/>
    </xf>
    <xf numFmtId="49" fontId="34" fillId="0" borderId="0" xfId="40" applyNumberFormat="1" applyFont="1" applyFill="1" applyBorder="1" applyAlignment="1">
      <alignment horizontal="left" vertical="top"/>
    </xf>
    <xf numFmtId="0" fontId="35" fillId="0" borderId="0" xfId="0" applyNumberFormat="1" applyFont="1" applyFill="1" applyAlignment="1">
      <alignment horizontal="left" vertical="top"/>
    </xf>
    <xf numFmtId="0" fontId="26" fillId="0" borderId="0" xfId="42" applyNumberFormat="1" applyFont="1" applyFill="1" applyBorder="1" applyAlignment="1">
      <alignment horizontal="left" vertical="top"/>
    </xf>
    <xf numFmtId="0" fontId="35" fillId="0" borderId="0" xfId="42" applyNumberFormat="1" applyFont="1" applyFill="1" applyBorder="1" applyAlignment="1">
      <alignment horizontal="left" vertical="top"/>
    </xf>
    <xf numFmtId="0" fontId="42" fillId="0" borderId="0" xfId="40" applyNumberFormat="1" applyFont="1" applyFill="1" applyBorder="1" applyAlignment="1" applyProtection="1">
      <alignment horizontal="left" vertical="top" indent="1"/>
    </xf>
    <xf numFmtId="0" fontId="4" fillId="0" borderId="0" xfId="0" applyNumberFormat="1" applyFont="1" applyFill="1" applyBorder="1" applyAlignment="1">
      <alignment horizontal="left" vertical="top" indent="1"/>
    </xf>
    <xf numFmtId="0" fontId="35" fillId="0" borderId="0" xfId="42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Alignment="1">
      <alignment horizontal="left" vertical="top"/>
    </xf>
    <xf numFmtId="0" fontId="4" fillId="0" borderId="0" xfId="42" applyNumberFormat="1" applyFont="1" applyFill="1" applyBorder="1" applyAlignment="1">
      <alignment horizontal="left" vertical="top" wrapText="1" indent="2"/>
    </xf>
    <xf numFmtId="0" fontId="42" fillId="0" borderId="0" xfId="40" applyNumberFormat="1" applyFont="1" applyFill="1" applyBorder="1" applyAlignment="1" applyProtection="1">
      <alignment horizontal="left" vertical="top" indent="2"/>
    </xf>
    <xf numFmtId="0" fontId="4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Alignment="1">
      <alignment horizontal="left" vertical="top"/>
    </xf>
    <xf numFmtId="0" fontId="35" fillId="0" borderId="0" xfId="40" applyNumberFormat="1" applyFont="1" applyFill="1" applyBorder="1" applyAlignment="1" applyProtection="1">
      <alignment horizontal="left" vertical="top"/>
    </xf>
    <xf numFmtId="0" fontId="42" fillId="0" borderId="0" xfId="40" applyNumberFormat="1" applyFont="1" applyFill="1" applyBorder="1" applyAlignment="1" applyProtection="1">
      <alignment horizontal="left" vertical="top" wrapText="1" indent="1"/>
    </xf>
    <xf numFmtId="0" fontId="42" fillId="0" borderId="0" xfId="40" applyNumberFormat="1" applyFont="1" applyFill="1" applyBorder="1" applyAlignment="1" applyProtection="1">
      <alignment horizontal="left" vertical="top" indent="3"/>
    </xf>
    <xf numFmtId="0" fontId="35" fillId="0" borderId="0" xfId="40" applyNumberFormat="1" applyFont="1" applyFill="1" applyBorder="1" applyAlignment="1" applyProtection="1">
      <alignment horizontal="left" vertical="top" wrapText="1"/>
    </xf>
    <xf numFmtId="3" fontId="42" fillId="0" borderId="0" xfId="40" applyNumberFormat="1" applyFont="1" applyFill="1" applyBorder="1" applyAlignment="1" applyProtection="1">
      <alignment horizontal="right" vertical="top"/>
    </xf>
    <xf numFmtId="0" fontId="42" fillId="0" borderId="0" xfId="40" applyNumberFormat="1" applyFont="1" applyFill="1" applyBorder="1" applyAlignment="1" applyProtection="1">
      <alignment horizontal="left" vertical="top" wrapText="1" indent="2"/>
    </xf>
    <xf numFmtId="0" fontId="34" fillId="0" borderId="0" xfId="40" applyNumberFormat="1" applyFont="1" applyFill="1" applyBorder="1" applyAlignment="1">
      <alignment horizontal="left" vertical="top"/>
    </xf>
    <xf numFmtId="0" fontId="26" fillId="0" borderId="0" xfId="40" applyNumberFormat="1" applyFont="1" applyFill="1" applyBorder="1" applyAlignment="1" applyProtection="1">
      <alignment horizontal="left" vertical="top"/>
    </xf>
    <xf numFmtId="0" fontId="26" fillId="0" borderId="0" xfId="40" applyNumberFormat="1" applyFont="1" applyFill="1" applyBorder="1" applyAlignment="1">
      <alignment horizontal="left" vertical="top"/>
    </xf>
    <xf numFmtId="0" fontId="27" fillId="0" borderId="0" xfId="40" applyNumberFormat="1" applyFont="1" applyFill="1" applyBorder="1" applyAlignment="1" applyProtection="1">
      <alignment horizontal="left" vertical="top" indent="1"/>
    </xf>
    <xf numFmtId="0" fontId="27" fillId="0" borderId="0" xfId="40" applyNumberFormat="1" applyFont="1" applyFill="1" applyBorder="1" applyAlignment="1" applyProtection="1">
      <alignment horizontal="left" vertical="top" indent="2"/>
    </xf>
    <xf numFmtId="0" fontId="33" fillId="0" borderId="0" xfId="0" applyNumberFormat="1" applyFont="1" applyFill="1" applyAlignment="1">
      <alignment horizontal="left" vertical="top" indent="1"/>
    </xf>
    <xf numFmtId="0" fontId="36" fillId="0" borderId="0" xfId="0" applyNumberFormat="1" applyFont="1" applyFill="1" applyAlignment="1">
      <alignment horizontal="left" vertical="top"/>
    </xf>
    <xf numFmtId="0" fontId="31" fillId="0" borderId="0" xfId="0" applyNumberFormat="1" applyFont="1" applyFill="1" applyAlignment="1">
      <alignment horizontal="left" vertical="top"/>
    </xf>
    <xf numFmtId="0" fontId="26" fillId="0" borderId="0" xfId="0" applyNumberFormat="1" applyFont="1" applyFill="1" applyAlignment="1">
      <alignment horizontal="left" vertical="top" indent="2"/>
    </xf>
    <xf numFmtId="0" fontId="4" fillId="0" borderId="0" xfId="34" applyNumberFormat="1" applyFont="1" applyFill="1" applyBorder="1" applyAlignment="1" applyProtection="1">
      <alignment horizontal="left" vertical="top" wrapText="1" indent="2"/>
    </xf>
    <xf numFmtId="0" fontId="24" fillId="0" borderId="0" xfId="0" applyNumberFormat="1" applyFont="1" applyFill="1" applyAlignment="1">
      <alignment horizontal="left" vertical="top" wrapText="1" indent="2"/>
    </xf>
    <xf numFmtId="0" fontId="34" fillId="0" borderId="0" xfId="40" applyNumberFormat="1" applyFont="1" applyFill="1" applyBorder="1" applyAlignment="1" applyProtection="1">
      <alignment horizontal="left" vertical="top"/>
    </xf>
    <xf numFmtId="0" fontId="4" fillId="0" borderId="0" xfId="40" applyNumberFormat="1" applyFont="1" applyFill="1" applyBorder="1" applyAlignment="1">
      <alignment horizontal="left" vertical="top"/>
    </xf>
    <xf numFmtId="0" fontId="36" fillId="0" borderId="0" xfId="34" quotePrefix="1" applyNumberFormat="1" applyFont="1" applyFill="1" applyBorder="1" applyAlignment="1" applyProtection="1">
      <alignment horizontal="left" vertical="top" wrapText="1" indent="1"/>
    </xf>
    <xf numFmtId="0" fontId="4" fillId="0" borderId="0" xfId="34" applyNumberFormat="1" applyFont="1" applyFill="1" applyBorder="1" applyAlignment="1" applyProtection="1">
      <alignment horizontal="left" vertical="top" wrapText="1"/>
    </xf>
    <xf numFmtId="0" fontId="24" fillId="0" borderId="0" xfId="34" applyNumberFormat="1" applyFont="1" applyFill="1" applyBorder="1" applyAlignment="1" applyProtection="1">
      <alignment horizontal="left" vertical="top" wrapText="1" indent="3"/>
    </xf>
    <xf numFmtId="0" fontId="36" fillId="0" borderId="0" xfId="0" applyNumberFormat="1" applyFont="1" applyFill="1" applyAlignment="1">
      <alignment horizontal="left" wrapText="1" indent="3"/>
    </xf>
    <xf numFmtId="0" fontId="36" fillId="0" borderId="0" xfId="0" quotePrefix="1" applyNumberFormat="1" applyFont="1" applyFill="1" applyAlignment="1">
      <alignment horizontal="left" wrapText="1" indent="1"/>
    </xf>
    <xf numFmtId="49" fontId="36" fillId="0" borderId="0" xfId="0" quotePrefix="1" applyNumberFormat="1" applyFont="1" applyFill="1" applyAlignment="1">
      <alignment horizontal="left" indent="1"/>
    </xf>
    <xf numFmtId="0" fontId="42" fillId="0" borderId="0" xfId="40" applyNumberFormat="1" applyFont="1" applyFill="1" applyBorder="1" applyAlignment="1" applyProtection="1">
      <alignment horizontal="left" vertical="top" indent="4"/>
    </xf>
    <xf numFmtId="0" fontId="33" fillId="0" borderId="0" xfId="0" applyNumberFormat="1" applyFont="1" applyFill="1" applyAlignment="1">
      <alignment horizontal="left" vertical="top" wrapText="1" indent="1"/>
    </xf>
    <xf numFmtId="0" fontId="36" fillId="0" borderId="0" xfId="40" quotePrefix="1" applyNumberFormat="1" applyFont="1" applyFill="1" applyBorder="1" applyAlignment="1" applyProtection="1">
      <alignment horizontal="left" indent="1"/>
    </xf>
    <xf numFmtId="0" fontId="4" fillId="0" borderId="0" xfId="0" applyNumberFormat="1" applyFont="1" applyFill="1" applyAlignment="1">
      <alignment horizontal="left" vertical="top" wrapText="1"/>
    </xf>
    <xf numFmtId="0" fontId="36" fillId="0" borderId="0" xfId="40" applyNumberFormat="1" applyFont="1" applyFill="1" applyBorder="1" applyAlignment="1" applyProtection="1">
      <alignment horizontal="left" vertical="top" indent="1"/>
    </xf>
    <xf numFmtId="0" fontId="32" fillId="0" borderId="0" xfId="0" applyNumberFormat="1" applyFont="1" applyFill="1" applyAlignment="1">
      <alignment horizontal="left" vertical="top"/>
    </xf>
    <xf numFmtId="0" fontId="4" fillId="0" borderId="0" xfId="40" applyNumberFormat="1" applyFont="1" applyFill="1" applyBorder="1" applyAlignment="1" applyProtection="1">
      <alignment horizontal="left" vertical="top" indent="1"/>
    </xf>
    <xf numFmtId="0" fontId="27" fillId="0" borderId="0" xfId="0" applyNumberFormat="1" applyFont="1" applyFill="1" applyAlignment="1">
      <alignment horizontal="left" vertical="top" indent="2"/>
    </xf>
    <xf numFmtId="0" fontId="27" fillId="0" borderId="0" xfId="0" applyNumberFormat="1" applyFont="1" applyFill="1" applyAlignment="1">
      <alignment horizontal="left" vertical="top"/>
    </xf>
    <xf numFmtId="0" fontId="36" fillId="0" borderId="0" xfId="40" applyNumberFormat="1" applyFont="1" applyFill="1" applyBorder="1" applyAlignment="1" applyProtection="1">
      <alignment horizontal="left" vertical="top" indent="3"/>
    </xf>
    <xf numFmtId="0" fontId="24" fillId="0" borderId="0" xfId="40" applyNumberFormat="1" applyFont="1" applyFill="1" applyBorder="1" applyAlignment="1" applyProtection="1">
      <alignment horizontal="left" vertical="top" indent="4"/>
    </xf>
    <xf numFmtId="0" fontId="36" fillId="0" borderId="0" xfId="40" applyNumberFormat="1" applyFont="1" applyFill="1" applyBorder="1" applyAlignment="1" applyProtection="1">
      <alignment horizontal="left" vertical="top" wrapText="1" indent="1"/>
    </xf>
    <xf numFmtId="0" fontId="24" fillId="0" borderId="0" xfId="40" applyNumberFormat="1" applyFont="1" applyFill="1" applyBorder="1" applyAlignment="1" applyProtection="1">
      <alignment horizontal="left" vertical="top" wrapText="1" indent="2"/>
    </xf>
    <xf numFmtId="0" fontId="35" fillId="0" borderId="0" xfId="39" applyNumberFormat="1" applyFont="1" applyFill="1" applyBorder="1" applyAlignment="1" applyProtection="1">
      <alignment horizontal="left" vertical="top" wrapText="1"/>
    </xf>
    <xf numFmtId="0" fontId="32" fillId="0" borderId="0" xfId="40" applyNumberFormat="1" applyFont="1" applyFill="1" applyBorder="1" applyAlignment="1" applyProtection="1">
      <alignment horizontal="left" vertical="top"/>
    </xf>
    <xf numFmtId="0" fontId="24" fillId="0" borderId="0" xfId="40" applyNumberFormat="1" applyFont="1" applyFill="1" applyBorder="1" applyAlignment="1" applyProtection="1">
      <alignment horizontal="left" vertical="top" indent="2"/>
    </xf>
    <xf numFmtId="0" fontId="24" fillId="0" borderId="0" xfId="40" applyNumberFormat="1" applyFont="1" applyFill="1" applyBorder="1" applyAlignment="1" applyProtection="1">
      <alignment horizontal="left" vertical="top" indent="1"/>
    </xf>
    <xf numFmtId="0" fontId="35" fillId="0" borderId="0" xfId="40" applyFont="1" applyFill="1" applyBorder="1" applyAlignment="1" applyProtection="1">
      <alignment horizontal="left" vertical="top" wrapText="1"/>
    </xf>
    <xf numFmtId="0" fontId="31" fillId="0" borderId="0" xfId="40" applyNumberFormat="1" applyFont="1" applyFill="1" applyBorder="1" applyAlignment="1" applyProtection="1">
      <alignment horizontal="left" vertical="top"/>
    </xf>
    <xf numFmtId="0" fontId="33" fillId="0" borderId="0" xfId="40" applyNumberFormat="1" applyFont="1" applyFill="1" applyBorder="1" applyAlignment="1" applyProtection="1">
      <alignment horizontal="left" vertical="top" indent="1"/>
    </xf>
    <xf numFmtId="0" fontId="24" fillId="0" borderId="0" xfId="40" applyNumberFormat="1" applyFont="1" applyFill="1" applyBorder="1" applyAlignment="1" applyProtection="1">
      <alignment horizontal="left" vertical="top" indent="3"/>
    </xf>
    <xf numFmtId="0" fontId="24" fillId="0" borderId="0" xfId="42" applyNumberFormat="1" applyFont="1" applyFill="1" applyBorder="1" applyAlignment="1">
      <alignment horizontal="left" vertical="top" indent="1"/>
    </xf>
    <xf numFmtId="0" fontId="27" fillId="0" borderId="0" xfId="40" applyNumberFormat="1" applyFont="1" applyFill="1" applyBorder="1" applyAlignment="1" applyProtection="1">
      <alignment horizontal="left" vertical="top"/>
    </xf>
    <xf numFmtId="0" fontId="35" fillId="0" borderId="0" xfId="0" applyFont="1" applyFill="1" applyAlignment="1">
      <alignment vertical="top" wrapText="1"/>
    </xf>
    <xf numFmtId="0" fontId="26" fillId="0" borderId="0" xfId="0" applyFont="1" applyFill="1" applyAlignment="1">
      <alignment wrapText="1"/>
    </xf>
    <xf numFmtId="49" fontId="36" fillId="0" borderId="0" xfId="42" applyNumberFormat="1" applyFont="1" applyFill="1" applyBorder="1" applyAlignment="1">
      <alignment horizontal="left" wrapText="1" indent="1"/>
    </xf>
    <xf numFmtId="0" fontId="24" fillId="0" borderId="0" xfId="40" applyNumberFormat="1" applyFont="1" applyFill="1" applyBorder="1" applyAlignment="1" applyProtection="1">
      <alignment horizontal="left" vertical="top" wrapText="1"/>
    </xf>
    <xf numFmtId="0" fontId="36" fillId="0" borderId="0" xfId="40" applyNumberFormat="1" applyFont="1" applyFill="1" applyBorder="1" applyAlignment="1" applyProtection="1">
      <alignment horizontal="left" vertical="top" wrapText="1" indent="2"/>
    </xf>
    <xf numFmtId="0" fontId="27" fillId="0" borderId="0" xfId="40" applyNumberFormat="1" applyFont="1" applyFill="1" applyBorder="1" applyAlignment="1" applyProtection="1">
      <alignment horizontal="left"/>
    </xf>
    <xf numFmtId="0" fontId="36" fillId="0" borderId="0" xfId="40" applyNumberFormat="1" applyFont="1" applyFill="1" applyBorder="1" applyAlignment="1" applyProtection="1">
      <alignment horizontal="left" vertical="top" indent="2"/>
    </xf>
    <xf numFmtId="0" fontId="24" fillId="0" borderId="0" xfId="40" applyNumberFormat="1" applyFont="1" applyFill="1" applyBorder="1" applyAlignment="1" applyProtection="1">
      <alignment horizontal="left" vertical="top" indent="5"/>
    </xf>
    <xf numFmtId="0" fontId="35" fillId="0" borderId="0" xfId="41" applyNumberFormat="1" applyFont="1" applyFill="1" applyBorder="1" applyAlignment="1">
      <alignment horizontal="left" vertical="top"/>
    </xf>
    <xf numFmtId="0" fontId="31" fillId="0" borderId="0" xfId="42" applyNumberFormat="1" applyFont="1" applyFill="1" applyBorder="1" applyAlignment="1">
      <alignment horizontal="left" vertical="top"/>
    </xf>
    <xf numFmtId="0" fontId="26" fillId="0" borderId="0" xfId="0" applyNumberFormat="1" applyFont="1" applyFill="1" applyAlignment="1">
      <alignment horizontal="left" vertical="top" wrapText="1" indent="2"/>
    </xf>
    <xf numFmtId="0" fontId="42" fillId="0" borderId="0" xfId="40" applyNumberFormat="1" applyFont="1" applyFill="1" applyBorder="1" applyAlignment="1" applyProtection="1">
      <alignment horizontal="left" vertical="top" wrapText="1" indent="3"/>
    </xf>
    <xf numFmtId="0" fontId="33" fillId="0" borderId="0" xfId="40" applyNumberFormat="1" applyFont="1" applyFill="1" applyBorder="1" applyAlignment="1" applyProtection="1">
      <alignment horizontal="left" vertical="top" wrapText="1" indent="1"/>
    </xf>
    <xf numFmtId="0" fontId="26" fillId="0" borderId="0" xfId="40" applyNumberFormat="1" applyFont="1" applyFill="1" applyBorder="1" applyAlignment="1" applyProtection="1">
      <alignment horizontal="left" vertical="top" indent="2"/>
    </xf>
    <xf numFmtId="0" fontId="4" fillId="0" borderId="0" xfId="40" applyNumberFormat="1" applyFont="1" applyFill="1" applyBorder="1" applyAlignment="1" applyProtection="1">
      <alignment horizontal="left" vertical="top" indent="2"/>
    </xf>
    <xf numFmtId="0" fontId="4" fillId="0" borderId="0" xfId="34" applyNumberFormat="1" applyFont="1" applyFill="1" applyBorder="1" applyAlignment="1" applyProtection="1">
      <alignment horizontal="left" vertical="top" wrapText="1" indent="3"/>
    </xf>
    <xf numFmtId="0" fontId="36" fillId="0" borderId="0" xfId="42" quotePrefix="1" applyNumberFormat="1" applyFont="1" applyFill="1" applyBorder="1" applyAlignment="1">
      <alignment horizontal="left" vertical="top" wrapText="1" indent="1"/>
    </xf>
    <xf numFmtId="0" fontId="26" fillId="0" borderId="0" xfId="42" applyNumberFormat="1" applyFont="1" applyFill="1" applyBorder="1" applyAlignment="1">
      <alignment horizontal="left" vertical="top" wrapText="1"/>
    </xf>
    <xf numFmtId="0" fontId="35" fillId="0" borderId="0" xfId="40" applyNumberFormat="1" applyFont="1" applyFill="1" applyBorder="1" applyAlignment="1">
      <alignment horizontal="left" vertical="top" wrapText="1"/>
    </xf>
    <xf numFmtId="0" fontId="24" fillId="0" borderId="0" xfId="40" applyNumberFormat="1" applyFont="1" applyFill="1" applyBorder="1" applyAlignment="1" applyProtection="1">
      <alignment horizontal="left" vertical="top" wrapText="1" indent="4"/>
    </xf>
    <xf numFmtId="0" fontId="31" fillId="0" borderId="0" xfId="0" applyNumberFormat="1" applyFont="1" applyFill="1" applyAlignment="1">
      <alignment horizontal="left" vertical="top" wrapText="1"/>
    </xf>
    <xf numFmtId="0" fontId="26" fillId="0" borderId="0" xfId="42" applyFont="1" applyFill="1" applyBorder="1" applyAlignment="1">
      <alignment horizontal="left" vertical="top"/>
    </xf>
    <xf numFmtId="0" fontId="36" fillId="0" borderId="0" xfId="40" applyFont="1" applyFill="1" applyBorder="1" applyAlignment="1" applyProtection="1">
      <alignment horizontal="left" vertical="top" indent="1"/>
    </xf>
    <xf numFmtId="0" fontId="36" fillId="0" borderId="0" xfId="34" quotePrefix="1" applyNumberFormat="1" applyFont="1" applyFill="1" applyBorder="1" applyAlignment="1" applyProtection="1">
      <alignment horizontal="left" vertical="top" wrapText="1"/>
    </xf>
    <xf numFmtId="0" fontId="36" fillId="0" borderId="0" xfId="40" applyNumberFormat="1" applyFont="1" applyFill="1" applyBorder="1" applyAlignment="1" applyProtection="1">
      <alignment horizontal="left" vertical="top" wrapText="1" indent="4"/>
    </xf>
    <xf numFmtId="0" fontId="36" fillId="0" borderId="0" xfId="42" applyNumberFormat="1" applyFont="1" applyFill="1" applyBorder="1" applyAlignment="1">
      <alignment horizontal="left" vertical="top" wrapText="1" indent="1"/>
    </xf>
    <xf numFmtId="0" fontId="36" fillId="0" borderId="0" xfId="42" quotePrefix="1" applyNumberFormat="1" applyFont="1" applyFill="1" applyBorder="1" applyAlignment="1">
      <alignment horizontal="left" wrapText="1" indent="1"/>
    </xf>
    <xf numFmtId="3" fontId="42" fillId="0" borderId="0" xfId="0" applyNumberFormat="1" applyFont="1" applyFill="1" applyBorder="1" applyAlignment="1">
      <alignment vertical="top"/>
    </xf>
    <xf numFmtId="3" fontId="36" fillId="0" borderId="0" xfId="0" applyNumberFormat="1" applyFont="1" applyFill="1" applyAlignment="1">
      <alignment horizontal="right" vertical="top"/>
    </xf>
    <xf numFmtId="3" fontId="24" fillId="0" borderId="0" xfId="0" applyNumberFormat="1" applyFont="1" applyFill="1" applyAlignment="1">
      <alignment vertical="top"/>
    </xf>
    <xf numFmtId="0" fontId="33" fillId="0" borderId="0" xfId="42" applyNumberFormat="1" applyFont="1" applyFill="1" applyBorder="1" applyAlignment="1">
      <alignment horizontal="left" vertical="top"/>
    </xf>
    <xf numFmtId="0" fontId="34" fillId="0" borderId="0" xfId="40" applyNumberFormat="1" applyFont="1" applyFill="1" applyBorder="1" applyAlignment="1" applyProtection="1">
      <alignment horizontal="left" vertical="top" wrapText="1"/>
    </xf>
    <xf numFmtId="0" fontId="26" fillId="0" borderId="0" xfId="40" applyNumberFormat="1" applyFont="1" applyFill="1" applyBorder="1" applyAlignment="1" applyProtection="1">
      <alignment horizontal="left" vertical="top" wrapText="1"/>
    </xf>
    <xf numFmtId="0" fontId="27" fillId="0" borderId="0" xfId="40" applyFont="1" applyFill="1" applyBorder="1" applyAlignment="1" applyProtection="1">
      <alignment horizontal="left" vertical="top" wrapText="1" indent="1"/>
    </xf>
    <xf numFmtId="0" fontId="26" fillId="0" borderId="0" xfId="40" applyNumberFormat="1" applyFont="1" applyFill="1" applyBorder="1" applyAlignment="1">
      <alignment horizontal="left" vertical="top" wrapText="1"/>
    </xf>
    <xf numFmtId="0" fontId="27" fillId="0" borderId="0" xfId="40" applyNumberFormat="1" applyFont="1" applyFill="1" applyBorder="1" applyAlignment="1" applyProtection="1">
      <alignment horizontal="left" vertical="top" wrapText="1" indent="1"/>
    </xf>
    <xf numFmtId="0" fontId="27" fillId="0" borderId="0" xfId="40" applyNumberFormat="1" applyFont="1" applyFill="1" applyBorder="1" applyAlignment="1" applyProtection="1">
      <alignment horizontal="left" vertical="top" wrapText="1" indent="3"/>
    </xf>
    <xf numFmtId="0" fontId="31" fillId="0" borderId="0" xfId="0" applyNumberFormat="1" applyFont="1" applyFill="1" applyBorder="1" applyAlignment="1">
      <alignment horizontal="left" vertical="top" wrapText="1"/>
    </xf>
    <xf numFmtId="0" fontId="33" fillId="0" borderId="0" xfId="0" applyNumberFormat="1" applyFont="1" applyFill="1" applyBorder="1" applyAlignment="1">
      <alignment horizontal="left" vertical="top" wrapText="1" indent="1"/>
    </xf>
    <xf numFmtId="0" fontId="26" fillId="0" borderId="0" xfId="0" applyNumberFormat="1" applyFont="1" applyFill="1" applyBorder="1" applyAlignment="1">
      <alignment horizontal="left" vertical="top" wrapText="1" indent="2"/>
    </xf>
    <xf numFmtId="0" fontId="42" fillId="0" borderId="0" xfId="40" applyNumberFormat="1" applyFont="1" applyFill="1" applyBorder="1" applyAlignment="1" applyProtection="1">
      <alignment horizontal="left" wrapText="1" indent="1"/>
    </xf>
    <xf numFmtId="3" fontId="4" fillId="0" borderId="0" xfId="40" applyNumberFormat="1" applyFont="1" applyFill="1" applyBorder="1" applyAlignment="1">
      <alignment vertical="top"/>
    </xf>
    <xf numFmtId="0" fontId="24" fillId="0" borderId="0" xfId="40" applyNumberFormat="1" applyFont="1" applyFill="1" applyBorder="1" applyAlignment="1">
      <alignment horizontal="left" vertical="top" wrapText="1" indent="2"/>
    </xf>
    <xf numFmtId="0" fontId="27" fillId="0" borderId="0" xfId="40" applyNumberFormat="1" applyFont="1" applyFill="1" applyBorder="1" applyAlignment="1" applyProtection="1">
      <alignment horizontal="left" vertical="top" indent="3"/>
    </xf>
    <xf numFmtId="0" fontId="36" fillId="0" borderId="0" xfId="42" applyNumberFormat="1" applyFont="1" applyFill="1" applyBorder="1" applyAlignment="1">
      <alignment horizontal="left" vertical="top" wrapText="1" indent="2"/>
    </xf>
    <xf numFmtId="0" fontId="24" fillId="0" borderId="0" xfId="40" applyNumberFormat="1" applyFont="1" applyFill="1" applyAlignment="1">
      <alignment horizontal="left" vertical="top" wrapText="1" indent="2"/>
    </xf>
    <xf numFmtId="0" fontId="24" fillId="0" borderId="0" xfId="40" applyNumberFormat="1" applyFont="1" applyFill="1" applyAlignment="1">
      <alignment horizontal="left" vertical="top" indent="2"/>
    </xf>
    <xf numFmtId="0" fontId="24" fillId="0" borderId="0" xfId="40" applyNumberFormat="1" applyFont="1" applyFill="1" applyAlignment="1">
      <alignment horizontal="left" vertical="top" wrapText="1" indent="4"/>
    </xf>
    <xf numFmtId="0" fontId="31" fillId="0" borderId="0" xfId="40" applyNumberFormat="1" applyFont="1" applyFill="1" applyBorder="1" applyAlignment="1">
      <alignment horizontal="left" vertical="top"/>
    </xf>
    <xf numFmtId="0" fontId="36" fillId="0" borderId="0" xfId="40" applyNumberFormat="1" applyFont="1" applyFill="1" applyBorder="1" applyAlignment="1" applyProtection="1">
      <alignment horizontal="left" vertical="top" indent="5"/>
    </xf>
    <xf numFmtId="0" fontId="42" fillId="0" borderId="0" xfId="40" applyNumberFormat="1" applyFont="1" applyFill="1" applyBorder="1" applyAlignment="1" applyProtection="1">
      <alignment horizontal="left" vertical="top"/>
    </xf>
    <xf numFmtId="0" fontId="26" fillId="0" borderId="0" xfId="42" applyNumberFormat="1" applyFont="1" applyFill="1" applyBorder="1" applyAlignment="1">
      <alignment horizontal="left" vertical="top" indent="2"/>
    </xf>
    <xf numFmtId="0" fontId="4" fillId="0" borderId="0" xfId="42" applyNumberFormat="1" applyFont="1" applyFill="1" applyBorder="1" applyAlignment="1">
      <alignment horizontal="left" vertical="top" wrapText="1" indent="4"/>
    </xf>
    <xf numFmtId="0" fontId="4" fillId="0" borderId="0" xfId="0" applyNumberFormat="1" applyFont="1" applyFill="1" applyAlignment="1">
      <alignment horizontal="left" vertical="top" indent="4"/>
    </xf>
    <xf numFmtId="49" fontId="24" fillId="0" borderId="0" xfId="0" applyNumberFormat="1" applyFont="1" applyFill="1" applyAlignment="1">
      <alignment horizontal="left" vertical="top" indent="3"/>
    </xf>
    <xf numFmtId="0" fontId="36" fillId="0" borderId="0" xfId="0" applyNumberFormat="1" applyFont="1" applyFill="1" applyAlignment="1">
      <alignment horizontal="left" vertical="top" indent="1"/>
    </xf>
    <xf numFmtId="0" fontId="26" fillId="0" borderId="0" xfId="0" applyFont="1" applyFill="1" applyBorder="1" applyAlignment="1">
      <alignment horizontal="left"/>
    </xf>
    <xf numFmtId="0" fontId="4" fillId="0" borderId="0" xfId="42" applyNumberFormat="1" applyFont="1" applyFill="1" applyBorder="1" applyAlignment="1">
      <alignment horizontal="left" vertical="top" indent="4"/>
    </xf>
    <xf numFmtId="0" fontId="4" fillId="0" borderId="0" xfId="0" applyNumberFormat="1" applyFont="1" applyFill="1" applyAlignment="1">
      <alignment horizontal="left" vertical="top" wrapText="1" indent="4"/>
    </xf>
    <xf numFmtId="0" fontId="39" fillId="0" borderId="0" xfId="0" applyFont="1" applyFill="1" applyBorder="1" applyAlignment="1">
      <alignment horizontal="left" vertical="top" indent="3"/>
    </xf>
    <xf numFmtId="0" fontId="39" fillId="0" borderId="0" xfId="0" applyFont="1" applyFill="1" applyBorder="1" applyAlignment="1">
      <alignment horizontal="left" vertical="top" wrapText="1" indent="3"/>
    </xf>
    <xf numFmtId="0" fontId="38" fillId="0" borderId="0" xfId="0" applyFont="1" applyFill="1" applyBorder="1" applyAlignment="1">
      <alignment horizontal="left" vertical="top"/>
    </xf>
    <xf numFmtId="0" fontId="37" fillId="0" borderId="0" xfId="0" applyFont="1" applyFill="1" applyBorder="1" applyAlignment="1">
      <alignment horizontal="left" vertical="top"/>
    </xf>
    <xf numFmtId="0" fontId="38" fillId="0" borderId="0" xfId="0" applyFont="1" applyFill="1" applyAlignment="1">
      <alignment horizontal="left" vertical="top"/>
    </xf>
    <xf numFmtId="3" fontId="37" fillId="0" borderId="0" xfId="0" applyNumberFormat="1" applyFont="1" applyFill="1" applyBorder="1" applyAlignment="1">
      <alignment vertical="top"/>
    </xf>
    <xf numFmtId="0" fontId="37" fillId="0" borderId="0" xfId="0" applyFont="1" applyFill="1"/>
    <xf numFmtId="3" fontId="38" fillId="0" borderId="0" xfId="0" applyNumberFormat="1" applyFont="1" applyFill="1" applyBorder="1" applyAlignment="1">
      <alignment vertical="top"/>
    </xf>
    <xf numFmtId="0" fontId="39" fillId="0" borderId="0" xfId="0" applyFont="1" applyFill="1"/>
    <xf numFmtId="3" fontId="39" fillId="0" borderId="0" xfId="0" applyNumberFormat="1" applyFont="1" applyFill="1" applyBorder="1" applyAlignment="1">
      <alignment vertical="top"/>
    </xf>
    <xf numFmtId="3" fontId="39" fillId="0" borderId="0" xfId="0" applyNumberFormat="1" applyFont="1" applyFill="1" applyBorder="1" applyAlignment="1">
      <alignment vertical="top" wrapText="1"/>
    </xf>
    <xf numFmtId="0" fontId="49" fillId="0" borderId="0" xfId="0" applyFont="1" applyFill="1" applyBorder="1" applyAlignment="1">
      <alignment horizontal="left" vertical="top"/>
    </xf>
    <xf numFmtId="3" fontId="49" fillId="0" borderId="0" xfId="0" applyNumberFormat="1" applyFont="1" applyFill="1" applyBorder="1" applyAlignment="1">
      <alignment vertical="top"/>
    </xf>
    <xf numFmtId="0" fontId="39" fillId="0" borderId="0" xfId="0" applyFont="1" applyFill="1" applyAlignment="1">
      <alignment horizontal="left" vertical="top" indent="3"/>
    </xf>
    <xf numFmtId="3" fontId="39" fillId="0" borderId="0" xfId="0" applyNumberFormat="1" applyFont="1" applyFill="1" applyAlignment="1">
      <alignment vertical="top"/>
    </xf>
    <xf numFmtId="3" fontId="38" fillId="0" borderId="0" xfId="0" applyNumberFormat="1" applyFont="1" applyFill="1"/>
    <xf numFmtId="0" fontId="38" fillId="0" borderId="0" xfId="0" applyFont="1" applyFill="1" applyBorder="1" applyAlignment="1">
      <alignment horizontal="left" vertical="top" wrapText="1"/>
    </xf>
    <xf numFmtId="3" fontId="38" fillId="0" borderId="0" xfId="0" applyNumberFormat="1" applyFont="1" applyFill="1" applyBorder="1" applyAlignment="1">
      <alignment vertical="top" wrapText="1"/>
    </xf>
    <xf numFmtId="3" fontId="38" fillId="0" borderId="0" xfId="0" applyNumberFormat="1" applyFont="1" applyFill="1" applyAlignment="1">
      <alignment vertical="top"/>
    </xf>
    <xf numFmtId="0" fontId="38" fillId="0" borderId="0" xfId="0" applyFont="1" applyFill="1" applyAlignment="1">
      <alignment horizontal="left"/>
    </xf>
    <xf numFmtId="2" fontId="38" fillId="0" borderId="0" xfId="0" applyNumberFormat="1" applyFont="1" applyFill="1" applyBorder="1" applyAlignment="1">
      <alignment horizontal="left" vertical="top"/>
    </xf>
    <xf numFmtId="3" fontId="38" fillId="0" borderId="0" xfId="55" applyNumberFormat="1" applyFont="1" applyFill="1" applyBorder="1" applyAlignment="1">
      <alignment vertical="top"/>
    </xf>
    <xf numFmtId="0" fontId="48" fillId="0" borderId="0" xfId="0" applyFont="1" applyFill="1" applyBorder="1" applyAlignment="1">
      <alignment horizontal="left" vertical="top" indent="3"/>
    </xf>
    <xf numFmtId="3" fontId="48" fillId="0" borderId="0" xfId="0" applyNumberFormat="1" applyFont="1" applyFill="1" applyBorder="1" applyAlignment="1">
      <alignment vertical="top"/>
    </xf>
    <xf numFmtId="0" fontId="49" fillId="0" borderId="0" xfId="0" applyFont="1" applyFill="1" applyBorder="1" applyAlignment="1">
      <alignment horizontal="left" vertical="top" wrapText="1"/>
    </xf>
    <xf numFmtId="3" fontId="49" fillId="0" borderId="0" xfId="0" applyNumberFormat="1" applyFont="1" applyFill="1" applyBorder="1" applyAlignment="1">
      <alignment vertical="top" wrapText="1"/>
    </xf>
    <xf numFmtId="2" fontId="39" fillId="0" borderId="0" xfId="0" applyNumberFormat="1" applyFont="1" applyFill="1" applyBorder="1" applyAlignment="1">
      <alignment horizontal="left" vertical="top" wrapText="1" indent="3"/>
    </xf>
    <xf numFmtId="16" fontId="38" fillId="0" borderId="0" xfId="0" applyNumberFormat="1" applyFont="1" applyFill="1" applyBorder="1" applyAlignment="1">
      <alignment horizontal="left" vertical="top"/>
    </xf>
    <xf numFmtId="0" fontId="43" fillId="0" borderId="0" xfId="0" applyFont="1" applyFill="1" applyBorder="1" applyAlignment="1">
      <alignment horizontal="right"/>
    </xf>
    <xf numFmtId="3" fontId="43" fillId="0" borderId="0" xfId="0" applyNumberFormat="1" applyFont="1" applyFill="1" applyBorder="1" applyAlignment="1">
      <alignment vertical="top"/>
    </xf>
    <xf numFmtId="3" fontId="38" fillId="0" borderId="0" xfId="0" applyNumberFormat="1" applyFont="1" applyFill="1" applyBorder="1" applyAlignment="1"/>
    <xf numFmtId="0" fontId="44" fillId="0" borderId="0" xfId="0" applyFont="1" applyBorder="1" applyAlignment="1">
      <alignment horizontal="left" vertical="top" wrapText="1" indent="4"/>
    </xf>
    <xf numFmtId="0" fontId="4" fillId="0" borderId="0" xfId="0" applyFont="1" applyFill="1" applyBorder="1" applyAlignment="1">
      <alignment horizontal="left" wrapText="1" indent="3"/>
    </xf>
    <xf numFmtId="3" fontId="26" fillId="0" borderId="0" xfId="0" applyNumberFormat="1" applyFont="1" applyFill="1" applyBorder="1" applyAlignment="1"/>
    <xf numFmtId="3" fontId="35" fillId="0" borderId="0" xfId="0" applyNumberFormat="1" applyFont="1" applyFill="1" applyBorder="1" applyAlignment="1"/>
    <xf numFmtId="3" fontId="4" fillId="0" borderId="0" xfId="55" applyNumberFormat="1" applyFont="1" applyFill="1" applyBorder="1" applyAlignment="1"/>
    <xf numFmtId="0" fontId="4" fillId="0" borderId="0" xfId="55" applyFont="1" applyFill="1" applyBorder="1" applyAlignment="1" applyProtection="1">
      <alignment horizontal="left" vertical="top" wrapText="1" indent="4"/>
      <protection locked="0"/>
    </xf>
    <xf numFmtId="0" fontId="4" fillId="0" borderId="0" xfId="55" applyFont="1" applyAlignment="1">
      <alignment wrapText="1"/>
    </xf>
    <xf numFmtId="3" fontId="4" fillId="0" borderId="0" xfId="55" applyNumberFormat="1" applyFont="1" applyBorder="1" applyAlignment="1"/>
    <xf numFmtId="3" fontId="26" fillId="0" borderId="0" xfId="55" applyNumberFormat="1" applyFont="1" applyFill="1" applyBorder="1"/>
    <xf numFmtId="3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Alignment="1"/>
    <xf numFmtId="0" fontId="24" fillId="0" borderId="0" xfId="39" applyNumberFormat="1" applyFont="1" applyFill="1" applyBorder="1" applyAlignment="1" applyProtection="1">
      <alignment horizontal="left" vertical="top"/>
    </xf>
    <xf numFmtId="0" fontId="4" fillId="0" borderId="0" xfId="34" applyNumberFormat="1" applyFont="1" applyFill="1" applyBorder="1" applyAlignment="1" applyProtection="1">
      <alignment horizontal="left" vertical="top" indent="2"/>
    </xf>
    <xf numFmtId="0" fontId="4" fillId="0" borderId="0" xfId="40" applyNumberFormat="1" applyFont="1" applyFill="1" applyBorder="1" applyAlignment="1" applyProtection="1">
      <alignment horizontal="left" vertical="top" wrapText="1" indent="2"/>
    </xf>
    <xf numFmtId="49" fontId="36" fillId="0" borderId="0" xfId="40" quotePrefix="1" applyNumberFormat="1" applyFont="1" applyFill="1" applyBorder="1" applyAlignment="1" applyProtection="1">
      <alignment horizontal="left" indent="1"/>
    </xf>
    <xf numFmtId="0" fontId="36" fillId="0" borderId="0" xfId="42" quotePrefix="1" applyNumberFormat="1" applyFont="1" applyFill="1" applyBorder="1" applyAlignment="1">
      <alignment horizontal="left" vertical="top" indent="1"/>
    </xf>
    <xf numFmtId="0" fontId="36" fillId="0" borderId="0" xfId="34" applyNumberFormat="1" applyFont="1" applyFill="1" applyBorder="1" applyAlignment="1" applyProtection="1">
      <alignment horizontal="left" vertical="top" wrapText="1" indent="1"/>
    </xf>
    <xf numFmtId="0" fontId="42" fillId="0" borderId="0" xfId="40" applyFont="1" applyFill="1" applyBorder="1" applyAlignment="1" applyProtection="1">
      <alignment horizontal="left" vertical="top" indent="3"/>
    </xf>
    <xf numFmtId="0" fontId="27" fillId="0" borderId="0" xfId="0" applyNumberFormat="1" applyFont="1" applyFill="1" applyAlignment="1">
      <alignment horizontal="left" vertical="top" indent="3"/>
    </xf>
    <xf numFmtId="0" fontId="4" fillId="0" borderId="0" xfId="0" applyFont="1" applyAlignment="1">
      <alignment horizontal="left" indent="2"/>
    </xf>
    <xf numFmtId="0" fontId="4" fillId="0" borderId="0" xfId="0" applyFont="1" applyAlignment="1">
      <alignment horizontal="left" indent="4"/>
    </xf>
    <xf numFmtId="0" fontId="4" fillId="0" borderId="0" xfId="0" applyFont="1" applyAlignment="1">
      <alignment horizontal="left" wrapText="1"/>
    </xf>
    <xf numFmtId="3" fontId="67" fillId="0" borderId="0" xfId="0" applyNumberFormat="1" applyFont="1"/>
    <xf numFmtId="0" fontId="26" fillId="0" borderId="0" xfId="0" applyNumberFormat="1" applyFont="1" applyFill="1" applyAlignment="1">
      <alignment horizontal="left" vertical="top" wrapText="1"/>
    </xf>
    <xf numFmtId="0" fontId="36" fillId="0" borderId="0" xfId="42" applyNumberFormat="1" applyFont="1" applyFill="1" applyBorder="1" applyAlignment="1">
      <alignment horizontal="left" vertical="top" wrapText="1"/>
    </xf>
    <xf numFmtId="0" fontId="4" fillId="0" borderId="0" xfId="42" applyNumberFormat="1" applyFont="1" applyFill="1" applyBorder="1" applyAlignment="1">
      <alignment horizontal="left" vertical="top" indent="3"/>
    </xf>
    <xf numFmtId="49" fontId="36" fillId="0" borderId="0" xfId="34" quotePrefix="1" applyNumberFormat="1" applyFont="1" applyFill="1" applyBorder="1" applyAlignment="1" applyProtection="1">
      <alignment horizontal="left" vertical="top" wrapText="1" indent="1"/>
    </xf>
    <xf numFmtId="0" fontId="36" fillId="0" borderId="0" xfId="34" applyNumberFormat="1" applyFont="1" applyFill="1" applyBorder="1" applyAlignment="1" applyProtection="1">
      <alignment horizontal="left" vertical="top" wrapText="1"/>
    </xf>
    <xf numFmtId="0" fontId="24" fillId="0" borderId="0" xfId="40" applyNumberFormat="1" applyFont="1" applyFill="1" applyBorder="1" applyAlignment="1" applyProtection="1">
      <alignment horizontal="left" vertical="top"/>
    </xf>
    <xf numFmtId="0" fontId="39" fillId="0" borderId="0" xfId="0" applyFont="1" applyFill="1" applyAlignment="1">
      <alignment horizontal="left" vertical="center" indent="3"/>
    </xf>
    <xf numFmtId="0" fontId="39" fillId="0" borderId="0" xfId="0" applyFont="1" applyFill="1" applyAlignment="1">
      <alignment horizontal="left" indent="3"/>
    </xf>
    <xf numFmtId="0" fontId="4" fillId="0" borderId="0" xfId="42" applyNumberFormat="1" applyFont="1" applyFill="1" applyBorder="1" applyAlignment="1">
      <alignment horizontal="left" vertical="top" wrapText="1" indent="1"/>
    </xf>
    <xf numFmtId="0" fontId="27" fillId="0" borderId="0" xfId="42" applyNumberFormat="1" applyFont="1" applyFill="1" applyBorder="1" applyAlignment="1">
      <alignment horizontal="left" vertical="top" indent="3"/>
    </xf>
    <xf numFmtId="0" fontId="32" fillId="0" borderId="0" xfId="0" applyFont="1" applyFill="1" applyBorder="1" applyAlignment="1">
      <alignment horizontal="left" vertical="top"/>
    </xf>
    <xf numFmtId="165" fontId="68" fillId="0" borderId="0" xfId="39" applyNumberFormat="1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left" vertical="top"/>
    </xf>
    <xf numFmtId="0" fontId="4" fillId="0" borderId="0" xfId="41" applyNumberFormat="1" applyFont="1" applyFill="1" applyBorder="1" applyAlignment="1">
      <alignment horizontal="left" vertical="top"/>
    </xf>
    <xf numFmtId="0" fontId="27" fillId="0" borderId="0" xfId="0" applyFont="1" applyFill="1" applyBorder="1" applyAlignment="1">
      <alignment horizontal="left" vertical="top" indent="3"/>
    </xf>
    <xf numFmtId="0" fontId="42" fillId="0" borderId="0" xfId="0" applyFont="1" applyFill="1" applyBorder="1" applyAlignment="1">
      <alignment vertical="top"/>
    </xf>
    <xf numFmtId="3" fontId="42" fillId="0" borderId="0" xfId="0" applyNumberFormat="1" applyFont="1" applyFill="1" applyBorder="1"/>
    <xf numFmtId="0" fontId="44" fillId="0" borderId="0" xfId="55" applyFont="1" applyAlignment="1">
      <alignment wrapText="1"/>
    </xf>
    <xf numFmtId="0" fontId="24" fillId="0" borderId="0" xfId="0" applyFont="1" applyFill="1"/>
    <xf numFmtId="0" fontId="35" fillId="0" borderId="0" xfId="39" applyFont="1" applyFill="1" applyBorder="1" applyAlignment="1" applyProtection="1">
      <alignment horizontal="left"/>
    </xf>
    <xf numFmtId="3" fontId="26" fillId="0" borderId="0" xfId="0" applyNumberFormat="1" applyFont="1" applyFill="1" applyAlignment="1">
      <alignment vertical="top"/>
    </xf>
    <xf numFmtId="0" fontId="42" fillId="0" borderId="0" xfId="39" applyFont="1" applyFill="1" applyBorder="1" applyAlignment="1" applyProtection="1">
      <alignment horizontal="left" indent="4"/>
    </xf>
    <xf numFmtId="0" fontId="24" fillId="0" borderId="0" xfId="0" applyFont="1" applyFill="1" applyAlignment="1"/>
    <xf numFmtId="0" fontId="27" fillId="0" borderId="0" xfId="0" applyFont="1" applyFill="1"/>
    <xf numFmtId="0" fontId="42" fillId="0" borderId="0" xfId="40" applyFont="1" applyFill="1" applyBorder="1" applyAlignment="1" applyProtection="1">
      <alignment horizontal="left" vertical="top" indent="5"/>
    </xf>
    <xf numFmtId="3" fontId="37" fillId="0" borderId="0" xfId="0" applyNumberFormat="1" applyFont="1" applyFill="1"/>
    <xf numFmtId="3" fontId="39" fillId="0" borderId="0" xfId="0" applyNumberFormat="1" applyFont="1" applyFill="1"/>
    <xf numFmtId="3" fontId="4" fillId="0" borderId="0" xfId="0" applyNumberFormat="1" applyFont="1" applyFill="1" applyBorder="1" applyAlignment="1">
      <alignment vertical="top" wrapText="1"/>
    </xf>
    <xf numFmtId="0" fontId="69" fillId="0" borderId="0" xfId="0" applyFont="1" applyFill="1" applyBorder="1" applyAlignment="1">
      <alignment horizontal="left" vertical="top" indent="3"/>
    </xf>
    <xf numFmtId="3" fontId="69" fillId="0" borderId="0" xfId="0" applyNumberFormat="1" applyFont="1" applyFill="1" applyBorder="1" applyAlignment="1">
      <alignment vertical="top"/>
    </xf>
    <xf numFmtId="0" fontId="70" fillId="0" borderId="0" xfId="0" applyFont="1" applyFill="1" applyBorder="1" applyAlignment="1">
      <alignment horizontal="left" vertical="top" wrapText="1"/>
    </xf>
    <xf numFmtId="3" fontId="70" fillId="0" borderId="0" xfId="0" applyNumberFormat="1" applyFont="1" applyFill="1" applyBorder="1" applyAlignment="1">
      <alignment vertical="top"/>
    </xf>
    <xf numFmtId="3" fontId="27" fillId="0" borderId="0" xfId="0" applyNumberFormat="1" applyFont="1" applyFill="1" applyBorder="1" applyAlignment="1">
      <alignment vertical="top"/>
    </xf>
    <xf numFmtId="0" fontId="27" fillId="0" borderId="0" xfId="0" applyFont="1" applyFill="1" applyBorder="1" applyAlignment="1">
      <alignment horizontal="left" indent="2"/>
    </xf>
    <xf numFmtId="0" fontId="44" fillId="0" borderId="0" xfId="0" applyFont="1" applyBorder="1" applyAlignment="1">
      <alignment vertical="top" wrapText="1"/>
    </xf>
    <xf numFmtId="0" fontId="35" fillId="0" borderId="0" xfId="0" applyFont="1" applyFill="1" applyBorder="1" applyAlignment="1">
      <alignment horizontal="left" indent="3"/>
    </xf>
    <xf numFmtId="0" fontId="35" fillId="0" borderId="0" xfId="48" applyFont="1" applyFill="1" applyAlignment="1">
      <alignment vertical="top" wrapText="1"/>
    </xf>
    <xf numFmtId="0" fontId="26" fillId="0" borderId="0" xfId="48" applyFont="1" applyFill="1" applyAlignment="1">
      <alignment wrapText="1"/>
    </xf>
    <xf numFmtId="0" fontId="44" fillId="0" borderId="0" xfId="0" applyFont="1" applyBorder="1" applyAlignment="1">
      <alignment horizontal="left" indent="3"/>
    </xf>
    <xf numFmtId="0" fontId="44" fillId="0" borderId="0" xfId="0" applyFont="1" applyBorder="1" applyAlignment="1">
      <alignment horizontal="left" indent="4"/>
    </xf>
    <xf numFmtId="0" fontId="24" fillId="0" borderId="0" xfId="0" applyNumberFormat="1" applyFont="1" applyFill="1" applyAlignment="1">
      <alignment horizontal="left" vertical="top" indent="2"/>
    </xf>
    <xf numFmtId="0" fontId="44" fillId="0" borderId="0" xfId="0" applyFont="1" applyFill="1"/>
    <xf numFmtId="0" fontId="71" fillId="0" borderId="0" xfId="40" applyFont="1" applyFill="1" applyBorder="1" applyAlignment="1" applyProtection="1">
      <alignment horizontal="left" vertical="top" indent="2"/>
    </xf>
    <xf numFmtId="0" fontId="72" fillId="0" borderId="0" xfId="42" applyNumberFormat="1" applyFont="1" applyFill="1" applyBorder="1" applyAlignment="1">
      <alignment horizontal="left" vertical="top"/>
    </xf>
    <xf numFmtId="49" fontId="75" fillId="0" borderId="0" xfId="42" applyNumberFormat="1" applyFont="1" applyFill="1" applyBorder="1" applyAlignment="1">
      <alignment horizontal="left" wrapText="1" indent="1"/>
    </xf>
    <xf numFmtId="0" fontId="75" fillId="0" borderId="0" xfId="40" applyFont="1" applyFill="1" applyBorder="1" applyAlignment="1" applyProtection="1">
      <alignment horizontal="left" vertical="top" indent="4"/>
    </xf>
    <xf numFmtId="0" fontId="74" fillId="0" borderId="0" xfId="40" applyNumberFormat="1" applyFont="1" applyFill="1" applyBorder="1" applyAlignment="1" applyProtection="1">
      <alignment horizontal="left" vertical="top" indent="4"/>
    </xf>
    <xf numFmtId="0" fontId="73" fillId="0" borderId="0" xfId="0" applyFont="1" applyFill="1"/>
    <xf numFmtId="0" fontId="44" fillId="0" borderId="0" xfId="0" applyNumberFormat="1" applyFont="1" applyFill="1" applyAlignment="1">
      <alignment horizontal="left" vertical="top"/>
    </xf>
    <xf numFmtId="0" fontId="24" fillId="0" borderId="0" xfId="34" applyNumberFormat="1" applyFont="1" applyFill="1" applyBorder="1" applyAlignment="1" applyProtection="1">
      <alignment horizontal="left" vertical="top" wrapText="1" indent="4"/>
    </xf>
    <xf numFmtId="0" fontId="4" fillId="0" borderId="0" xfId="48"/>
    <xf numFmtId="3" fontId="4" fillId="0" borderId="0" xfId="48" applyNumberFormat="1"/>
    <xf numFmtId="0" fontId="4" fillId="0" borderId="0" xfId="48" applyFont="1"/>
    <xf numFmtId="0" fontId="31" fillId="0" borderId="0" xfId="48" applyFont="1" applyFill="1"/>
    <xf numFmtId="14" fontId="26" fillId="0" borderId="0" xfId="48" applyNumberFormat="1" applyFont="1" applyFill="1" applyAlignment="1">
      <alignment horizontal="left"/>
    </xf>
    <xf numFmtId="164" fontId="4" fillId="0" borderId="0" xfId="48" applyNumberFormat="1" applyAlignment="1">
      <alignment horizontal="right"/>
    </xf>
    <xf numFmtId="0" fontId="26" fillId="0" borderId="0" xfId="48" applyFont="1" applyFill="1"/>
    <xf numFmtId="0" fontId="4" fillId="0" borderId="0" xfId="48" applyFont="1" applyFill="1" applyBorder="1"/>
    <xf numFmtId="3" fontId="4" fillId="0" borderId="0" xfId="48" applyNumberFormat="1" applyFont="1" applyFill="1"/>
    <xf numFmtId="0" fontId="27" fillId="0" borderId="0" xfId="39" applyNumberFormat="1" applyFont="1" applyFill="1" applyBorder="1" applyAlignment="1" applyProtection="1">
      <alignment horizontal="left" indent="6"/>
    </xf>
    <xf numFmtId="3" fontId="26" fillId="0" borderId="0" xfId="48" applyNumberFormat="1" applyFont="1" applyFill="1" applyBorder="1"/>
    <xf numFmtId="0" fontId="27" fillId="0" borderId="0" xfId="48" applyFont="1"/>
    <xf numFmtId="3" fontId="76" fillId="0" borderId="0" xfId="48" applyNumberFormat="1" applyFont="1"/>
    <xf numFmtId="3" fontId="4" fillId="0" borderId="0" xfId="48" applyNumberFormat="1" applyFont="1"/>
    <xf numFmtId="0" fontId="77" fillId="0" borderId="0" xfId="48" applyFont="1"/>
    <xf numFmtId="165" fontId="4" fillId="0" borderId="0" xfId="48" applyNumberFormat="1" applyFont="1"/>
    <xf numFmtId="14" fontId="4" fillId="0" borderId="0" xfId="48" applyNumberFormat="1" applyFont="1"/>
    <xf numFmtId="9" fontId="26" fillId="0" borderId="0" xfId="48" applyNumberFormat="1" applyFont="1"/>
    <xf numFmtId="165" fontId="26" fillId="0" borderId="0" xfId="48" applyNumberFormat="1" applyFont="1"/>
    <xf numFmtId="4" fontId="4" fillId="0" borderId="0" xfId="48" applyNumberFormat="1" applyFont="1"/>
    <xf numFmtId="9" fontId="4" fillId="0" borderId="0" xfId="48" applyNumberFormat="1" applyFont="1"/>
    <xf numFmtId="164" fontId="4" fillId="0" borderId="0" xfId="48" applyNumberFormat="1" applyFont="1"/>
    <xf numFmtId="0" fontId="35" fillId="0" borderId="0" xfId="39" applyFont="1" applyFill="1" applyBorder="1" applyAlignment="1" applyProtection="1">
      <alignment horizontal="left" wrapText="1"/>
    </xf>
    <xf numFmtId="0" fontId="78" fillId="0" borderId="0" xfId="39" applyFont="1" applyFill="1" applyBorder="1" applyAlignment="1" applyProtection="1">
      <alignment horizontal="left" wrapText="1"/>
    </xf>
    <xf numFmtId="0" fontId="31" fillId="0" borderId="0" xfId="48" applyFont="1"/>
    <xf numFmtId="0" fontId="26" fillId="0" borderId="0" xfId="48" applyFont="1" applyFill="1" applyBorder="1" applyAlignment="1">
      <alignment vertical="top"/>
    </xf>
    <xf numFmtId="0" fontId="26" fillId="0" borderId="0" xfId="48" applyFont="1" applyFill="1" applyBorder="1"/>
    <xf numFmtId="3" fontId="4" fillId="0" borderId="0" xfId="48" applyNumberFormat="1" applyFont="1" applyFill="1" applyBorder="1"/>
    <xf numFmtId="0" fontId="26" fillId="0" borderId="0" xfId="48" applyFont="1" applyFill="1" applyBorder="1" applyAlignment="1">
      <alignment horizontal="left" indent="2"/>
    </xf>
    <xf numFmtId="0" fontId="4" fillId="0" borderId="0" xfId="48" applyFont="1" applyFill="1" applyBorder="1" applyAlignment="1">
      <alignment horizontal="left" indent="3"/>
    </xf>
    <xf numFmtId="0" fontId="4" fillId="0" borderId="0" xfId="48" applyFont="1" applyFill="1" applyBorder="1" applyAlignment="1">
      <alignment horizontal="left" indent="2"/>
    </xf>
    <xf numFmtId="0" fontId="4" fillId="0" borderId="0" xfId="48" quotePrefix="1" applyFont="1" applyFill="1" applyBorder="1"/>
    <xf numFmtId="2" fontId="27" fillId="0" borderId="0" xfId="48" applyNumberFormat="1" applyFont="1" applyFill="1" applyBorder="1" applyAlignment="1">
      <alignment horizontal="left" indent="2"/>
    </xf>
    <xf numFmtId="0" fontId="4" fillId="0" borderId="0" xfId="48" applyFont="1" applyFill="1" applyBorder="1" applyAlignment="1">
      <alignment horizontal="left" indent="1"/>
    </xf>
    <xf numFmtId="3" fontId="26" fillId="0" borderId="0" xfId="48" applyNumberFormat="1" applyFont="1" applyFill="1"/>
    <xf numFmtId="0" fontId="26" fillId="0" borderId="0" xfId="48" applyFont="1" applyFill="1" applyBorder="1" applyAlignment="1">
      <alignment wrapText="1"/>
    </xf>
    <xf numFmtId="3" fontId="36" fillId="0" borderId="0" xfId="0" applyNumberFormat="1" applyFont="1" applyFill="1" applyBorder="1"/>
    <xf numFmtId="3" fontId="0" fillId="0" borderId="0" xfId="0" applyNumberFormat="1"/>
    <xf numFmtId="0" fontId="39" fillId="0" borderId="0" xfId="54" applyFont="1" applyFill="1" applyBorder="1" applyAlignment="1">
      <alignment horizontal="left" vertical="top" indent="3"/>
    </xf>
    <xf numFmtId="3" fontId="71" fillId="0" borderId="0" xfId="40" applyNumberFormat="1" applyFont="1" applyFill="1" applyBorder="1" applyAlignment="1" applyProtection="1">
      <alignment vertical="top"/>
    </xf>
    <xf numFmtId="0" fontId="44" fillId="0" borderId="0" xfId="0" applyFont="1" applyFill="1" applyBorder="1" applyAlignment="1">
      <alignment horizontal="left" vertical="top" wrapText="1" indent="4"/>
    </xf>
    <xf numFmtId="3" fontId="80" fillId="0" borderId="0" xfId="0" applyNumberFormat="1" applyFont="1" applyFill="1" applyBorder="1"/>
    <xf numFmtId="0" fontId="4" fillId="29" borderId="0" xfId="0" applyFont="1" applyFill="1"/>
    <xf numFmtId="3" fontId="4" fillId="29" borderId="0" xfId="0" applyNumberFormat="1" applyFont="1" applyFill="1" applyAlignment="1"/>
    <xf numFmtId="0" fontId="4" fillId="29" borderId="0" xfId="0" applyFont="1" applyFill="1" applyAlignment="1">
      <alignment horizontal="left"/>
    </xf>
    <xf numFmtId="0" fontId="4" fillId="29" borderId="0" xfId="0" applyFont="1" applyFill="1" applyAlignment="1">
      <alignment horizontal="left" vertical="top"/>
    </xf>
    <xf numFmtId="0" fontId="26" fillId="0" borderId="0" xfId="0" applyFont="1"/>
    <xf numFmtId="0" fontId="31" fillId="0" borderId="0" xfId="0" applyFont="1"/>
    <xf numFmtId="165" fontId="0" fillId="0" borderId="0" xfId="0" applyNumberFormat="1"/>
    <xf numFmtId="3" fontId="26" fillId="0" borderId="0" xfId="0" applyNumberFormat="1" applyFont="1"/>
    <xf numFmtId="0" fontId="4" fillId="0" borderId="0" xfId="0" applyFont="1" applyAlignment="1">
      <alignment horizontal="left" indent="3"/>
    </xf>
    <xf numFmtId="0" fontId="4" fillId="0" borderId="0" xfId="0" applyFont="1" applyAlignment="1">
      <alignment horizontal="left" indent="5"/>
    </xf>
    <xf numFmtId="0" fontId="0" fillId="0" borderId="0" xfId="0" applyAlignment="1">
      <alignment horizontal="left" indent="3"/>
    </xf>
    <xf numFmtId="0" fontId="44" fillId="0" borderId="0" xfId="0" applyFont="1" applyBorder="1" applyAlignment="1">
      <alignment horizontal="left" indent="1"/>
    </xf>
    <xf numFmtId="165" fontId="37" fillId="0" borderId="0" xfId="0" applyNumberFormat="1" applyFont="1"/>
    <xf numFmtId="0" fontId="38" fillId="0" borderId="0" xfId="0" applyFont="1" applyFill="1" applyAlignment="1">
      <alignment vertical="top"/>
    </xf>
    <xf numFmtId="0" fontId="37" fillId="0" borderId="0" xfId="0" applyFont="1" applyFill="1" applyAlignment="1"/>
    <xf numFmtId="0" fontId="39" fillId="0" borderId="0" xfId="0" applyFont="1" applyFill="1" applyAlignment="1"/>
    <xf numFmtId="0" fontId="39" fillId="0" borderId="0" xfId="0" applyFont="1" applyFill="1" applyBorder="1" applyAlignment="1">
      <alignment horizontal="left" vertical="top"/>
    </xf>
    <xf numFmtId="3" fontId="38" fillId="0" borderId="0" xfId="0" applyNumberFormat="1" applyFont="1" applyFill="1" applyAlignment="1"/>
    <xf numFmtId="0" fontId="38" fillId="0" borderId="0" xfId="0" applyFont="1" applyFill="1" applyAlignment="1"/>
    <xf numFmtId="0" fontId="27" fillId="0" borderId="0" xfId="0" applyFont="1" applyFill="1" applyAlignment="1"/>
    <xf numFmtId="3" fontId="27" fillId="0" borderId="0" xfId="0" applyNumberFormat="1" applyFont="1" applyFill="1" applyAlignment="1"/>
    <xf numFmtId="0" fontId="4" fillId="0" borderId="0" xfId="0" applyFont="1" applyFill="1" applyBorder="1" applyAlignment="1">
      <alignment vertical="top"/>
    </xf>
    <xf numFmtId="0" fontId="38" fillId="0" borderId="0" xfId="0" quotePrefix="1" applyFont="1" applyFill="1" applyAlignment="1"/>
    <xf numFmtId="0" fontId="39" fillId="0" borderId="0" xfId="0" applyFont="1" applyFill="1" applyBorder="1" applyAlignment="1">
      <alignment horizontal="left" vertical="top" indent="2"/>
    </xf>
    <xf numFmtId="0" fontId="27" fillId="0" borderId="0" xfId="0" applyFont="1" applyFill="1" applyBorder="1" applyAlignment="1">
      <alignment horizontal="left" vertical="top" indent="2"/>
    </xf>
    <xf numFmtId="0" fontId="44" fillId="0" borderId="0" xfId="0" applyFont="1" applyBorder="1" applyAlignment="1">
      <alignment horizontal="left"/>
    </xf>
    <xf numFmtId="0" fontId="35" fillId="0" borderId="0" xfId="40" applyNumberFormat="1" applyFont="1" applyFill="1" applyBorder="1" applyAlignment="1" applyProtection="1">
      <alignment vertical="top"/>
    </xf>
    <xf numFmtId="0" fontId="4" fillId="0" borderId="0" xfId="0" applyFont="1" applyFill="1" applyAlignment="1">
      <alignment vertical="top"/>
    </xf>
    <xf numFmtId="0" fontId="81" fillId="0" borderId="0" xfId="40" applyNumberFormat="1" applyFont="1" applyFill="1" applyBorder="1" applyAlignment="1" applyProtection="1">
      <alignment horizontal="left" vertical="top" wrapText="1"/>
    </xf>
    <xf numFmtId="3" fontId="31" fillId="0" borderId="0" xfId="0" applyNumberFormat="1" applyFont="1" applyFill="1" applyAlignment="1">
      <alignment vertical="top"/>
    </xf>
    <xf numFmtId="3" fontId="44" fillId="0" borderId="0" xfId="0" applyNumberFormat="1" applyFont="1" applyFill="1" applyAlignment="1">
      <alignment vertical="top"/>
    </xf>
    <xf numFmtId="3" fontId="26" fillId="0" borderId="0" xfId="40" applyNumberFormat="1" applyFont="1" applyFill="1" applyBorder="1" applyAlignment="1">
      <alignment vertical="top"/>
    </xf>
    <xf numFmtId="3" fontId="31" fillId="0" borderId="0" xfId="40" applyNumberFormat="1" applyFont="1" applyFill="1" applyBorder="1" applyAlignment="1">
      <alignment vertical="top"/>
    </xf>
    <xf numFmtId="3" fontId="4" fillId="0" borderId="0" xfId="42" applyNumberFormat="1" applyFont="1" applyFill="1" applyBorder="1" applyAlignment="1">
      <alignment vertical="top"/>
    </xf>
    <xf numFmtId="3" fontId="24" fillId="0" borderId="0" xfId="0" applyNumberFormat="1" applyFont="1" applyFill="1" applyAlignment="1">
      <alignment vertical="top" wrapText="1"/>
    </xf>
    <xf numFmtId="3" fontId="75" fillId="0" borderId="0" xfId="40" applyNumberFormat="1" applyFont="1" applyFill="1" applyBorder="1" applyAlignment="1" applyProtection="1">
      <alignment vertical="top"/>
    </xf>
    <xf numFmtId="3" fontId="4" fillId="0" borderId="0" xfId="0" applyNumberFormat="1" applyFont="1" applyFill="1" applyAlignment="1">
      <alignment vertical="top" wrapText="1"/>
    </xf>
    <xf numFmtId="3" fontId="26" fillId="0" borderId="0" xfId="0" applyNumberFormat="1" applyFont="1" applyFill="1" applyBorder="1" applyAlignment="1">
      <alignment vertical="top" wrapText="1"/>
    </xf>
    <xf numFmtId="3" fontId="36" fillId="0" borderId="0" xfId="0" applyNumberFormat="1" applyFont="1" applyFill="1" applyAlignment="1">
      <alignment vertical="top"/>
    </xf>
    <xf numFmtId="3" fontId="36" fillId="0" borderId="0" xfId="0" applyNumberFormat="1" applyFont="1" applyFill="1" applyBorder="1" applyAlignment="1">
      <alignment vertical="top"/>
    </xf>
    <xf numFmtId="0" fontId="36" fillId="0" borderId="0" xfId="0" applyFont="1" applyFill="1" applyBorder="1" applyAlignment="1">
      <alignment vertical="top"/>
    </xf>
    <xf numFmtId="3" fontId="79" fillId="0" borderId="0" xfId="0" applyNumberFormat="1" applyFont="1" applyFill="1" applyBorder="1" applyAlignment="1">
      <alignment vertical="top"/>
    </xf>
    <xf numFmtId="3" fontId="24" fillId="0" borderId="0" xfId="42" applyNumberFormat="1" applyFont="1" applyFill="1" applyBorder="1" applyAlignment="1">
      <alignment vertical="top"/>
    </xf>
    <xf numFmtId="3" fontId="24" fillId="0" borderId="0" xfId="0" applyNumberFormat="1" applyFont="1" applyFill="1" applyBorder="1" applyAlignment="1">
      <alignment vertical="top"/>
    </xf>
    <xf numFmtId="165" fontId="83" fillId="0" borderId="0" xfId="0" applyNumberFormat="1" applyFont="1" applyFill="1" applyAlignment="1">
      <alignment vertical="top"/>
    </xf>
    <xf numFmtId="165" fontId="79" fillId="0" borderId="0" xfId="0" applyNumberFormat="1" applyFont="1" applyFill="1" applyAlignment="1">
      <alignment vertical="top"/>
    </xf>
    <xf numFmtId="0" fontId="36" fillId="0" borderId="0" xfId="0" applyFont="1" applyFill="1" applyBorder="1"/>
    <xf numFmtId="3" fontId="83" fillId="0" borderId="0" xfId="0" applyNumberFormat="1" applyFont="1" applyFill="1" applyBorder="1"/>
    <xf numFmtId="3" fontId="0" fillId="0" borderId="0" xfId="0" applyNumberFormat="1" applyFill="1"/>
    <xf numFmtId="0" fontId="0" fillId="0" borderId="0" xfId="0" applyFill="1"/>
    <xf numFmtId="3" fontId="4" fillId="0" borderId="0" xfId="48" applyNumberFormat="1" applyFont="1" applyFill="1" applyAlignment="1">
      <alignment vertical="top" wrapText="1"/>
    </xf>
    <xf numFmtId="3" fontId="4" fillId="0" borderId="0" xfId="40" applyNumberFormat="1" applyFont="1" applyFill="1" applyBorder="1" applyAlignment="1" applyProtection="1">
      <alignment vertical="top"/>
    </xf>
    <xf numFmtId="3" fontId="34" fillId="0" borderId="0" xfId="40" applyNumberFormat="1" applyFont="1" applyFill="1" applyBorder="1" applyAlignment="1" applyProtection="1">
      <alignment vertical="top"/>
    </xf>
    <xf numFmtId="3" fontId="26" fillId="0" borderId="0" xfId="40" applyNumberFormat="1" applyFont="1" applyFill="1" applyBorder="1" applyAlignment="1" applyProtection="1">
      <alignment vertical="top"/>
    </xf>
    <xf numFmtId="3" fontId="27" fillId="0" borderId="0" xfId="40" applyNumberFormat="1" applyFont="1" applyFill="1" applyBorder="1" applyAlignment="1" applyProtection="1">
      <alignment vertical="top"/>
    </xf>
    <xf numFmtId="3" fontId="36" fillId="0" borderId="0" xfId="40" applyNumberFormat="1" applyFont="1" applyFill="1" applyBorder="1" applyAlignment="1" applyProtection="1">
      <alignment vertical="top"/>
    </xf>
    <xf numFmtId="3" fontId="42" fillId="0" borderId="0" xfId="40" applyNumberFormat="1" applyFont="1" applyFill="1" applyBorder="1" applyAlignment="1" applyProtection="1">
      <alignment vertical="top"/>
    </xf>
    <xf numFmtId="3" fontId="34" fillId="0" borderId="0" xfId="40" applyNumberFormat="1" applyFont="1" applyFill="1" applyBorder="1" applyAlignment="1">
      <alignment vertical="top"/>
    </xf>
    <xf numFmtId="3" fontId="72" fillId="0" borderId="0" xfId="42" applyNumberFormat="1" applyFont="1" applyFill="1" applyBorder="1" applyAlignment="1">
      <alignment vertical="top"/>
    </xf>
    <xf numFmtId="3" fontId="4" fillId="0" borderId="0" xfId="42" applyNumberFormat="1" applyFont="1" applyFill="1" applyBorder="1" applyAlignment="1">
      <alignment vertical="top" wrapText="1"/>
    </xf>
    <xf numFmtId="3" fontId="42" fillId="0" borderId="0" xfId="40" applyNumberFormat="1" applyFont="1" applyFill="1" applyBorder="1" applyAlignment="1" applyProtection="1">
      <alignment vertical="top" wrapText="1"/>
    </xf>
    <xf numFmtId="3" fontId="24" fillId="0" borderId="0" xfId="40" applyNumberFormat="1" applyFont="1" applyFill="1" applyBorder="1" applyAlignment="1" applyProtection="1">
      <alignment vertical="top"/>
    </xf>
    <xf numFmtId="3" fontId="4" fillId="0" borderId="0" xfId="40" applyNumberFormat="1" applyFont="1" applyFill="1" applyBorder="1" applyAlignment="1" applyProtection="1">
      <alignment vertical="top" wrapText="1"/>
    </xf>
    <xf numFmtId="3" fontId="4" fillId="0" borderId="0" xfId="39" applyNumberFormat="1" applyFont="1" applyFill="1" applyBorder="1" applyAlignment="1" applyProtection="1">
      <alignment vertical="top"/>
    </xf>
    <xf numFmtId="3" fontId="4" fillId="0" borderId="0" xfId="34" applyNumberFormat="1" applyFont="1" applyFill="1" applyBorder="1" applyAlignment="1" applyProtection="1">
      <alignment vertical="top" wrapText="1"/>
    </xf>
    <xf numFmtId="3" fontId="36" fillId="0" borderId="0" xfId="42" applyNumberFormat="1" applyFont="1" applyFill="1" applyBorder="1" applyAlignment="1">
      <alignment vertical="top" wrapText="1"/>
    </xf>
    <xf numFmtId="3" fontId="26" fillId="0" borderId="0" xfId="0" applyNumberFormat="1" applyFont="1" applyFill="1" applyAlignment="1">
      <alignment vertical="top" wrapText="1"/>
    </xf>
    <xf numFmtId="3" fontId="26" fillId="0" borderId="0" xfId="48" applyNumberFormat="1" applyFont="1" applyFill="1" applyAlignment="1">
      <alignment vertical="top" wrapText="1"/>
    </xf>
    <xf numFmtId="3" fontId="31" fillId="0" borderId="0" xfId="40" applyNumberFormat="1" applyFont="1" applyFill="1" applyBorder="1" applyAlignment="1" applyProtection="1">
      <alignment vertical="top"/>
    </xf>
    <xf numFmtId="3" fontId="42" fillId="0" borderId="0" xfId="39" applyNumberFormat="1" applyFont="1" applyFill="1" applyBorder="1" applyAlignment="1" applyProtection="1">
      <alignment vertical="top"/>
    </xf>
    <xf numFmtId="3" fontId="75" fillId="0" borderId="0" xfId="42" applyNumberFormat="1" applyFont="1" applyFill="1" applyBorder="1" applyAlignment="1">
      <alignment vertical="top" wrapText="1"/>
    </xf>
    <xf numFmtId="3" fontId="24" fillId="0" borderId="0" xfId="40" applyNumberFormat="1" applyFont="1" applyFill="1" applyBorder="1" applyAlignment="1" applyProtection="1">
      <alignment vertical="top" wrapText="1"/>
    </xf>
    <xf numFmtId="3" fontId="4" fillId="0" borderId="0" xfId="41" applyNumberFormat="1" applyFont="1" applyFill="1" applyBorder="1" applyAlignment="1">
      <alignment vertical="top"/>
    </xf>
    <xf numFmtId="3" fontId="44" fillId="0" borderId="0" xfId="40" applyNumberFormat="1" applyFont="1" applyFill="1" applyBorder="1" applyAlignment="1" applyProtection="1">
      <alignment vertical="top" wrapText="1"/>
    </xf>
    <xf numFmtId="3" fontId="74" fillId="0" borderId="0" xfId="40" applyNumberFormat="1" applyFont="1" applyFill="1" applyBorder="1" applyAlignment="1" applyProtection="1">
      <alignment vertical="top"/>
    </xf>
    <xf numFmtId="3" fontId="36" fillId="0" borderId="0" xfId="0" quotePrefix="1" applyNumberFormat="1" applyFont="1" applyFill="1" applyAlignment="1">
      <alignment vertical="top" wrapText="1"/>
    </xf>
    <xf numFmtId="3" fontId="36" fillId="0" borderId="0" xfId="34" quotePrefix="1" applyNumberFormat="1" applyFont="1" applyFill="1" applyBorder="1" applyAlignment="1" applyProtection="1">
      <alignment vertical="top" wrapText="1"/>
    </xf>
    <xf numFmtId="3" fontId="36" fillId="0" borderId="0" xfId="0" applyNumberFormat="1" applyFont="1" applyFill="1" applyAlignment="1">
      <alignment vertical="top" wrapText="1"/>
    </xf>
    <xf numFmtId="3" fontId="36" fillId="0" borderId="0" xfId="34" applyNumberFormat="1" applyFont="1" applyFill="1" applyBorder="1" applyAlignment="1" applyProtection="1">
      <alignment vertical="top" wrapText="1"/>
    </xf>
    <xf numFmtId="3" fontId="24" fillId="0" borderId="0" xfId="34" applyNumberFormat="1" applyFont="1" applyFill="1" applyBorder="1" applyAlignment="1" applyProtection="1">
      <alignment vertical="top" wrapText="1"/>
    </xf>
    <xf numFmtId="3" fontId="4" fillId="0" borderId="0" xfId="34" applyNumberFormat="1" applyFont="1" applyFill="1" applyBorder="1" applyAlignment="1" applyProtection="1">
      <alignment vertical="top"/>
    </xf>
    <xf numFmtId="3" fontId="36" fillId="0" borderId="0" xfId="40" quotePrefix="1" applyNumberFormat="1" applyFont="1" applyFill="1" applyBorder="1" applyAlignment="1" applyProtection="1">
      <alignment vertical="top"/>
    </xf>
    <xf numFmtId="3" fontId="36" fillId="0" borderId="0" xfId="40" applyNumberFormat="1" applyFont="1" applyFill="1" applyBorder="1" applyAlignment="1" applyProtection="1">
      <alignment vertical="top" wrapText="1"/>
    </xf>
    <xf numFmtId="3" fontId="4" fillId="0" borderId="0" xfId="39" applyNumberFormat="1" applyFont="1" applyFill="1" applyBorder="1" applyAlignment="1" applyProtection="1">
      <alignment vertical="top" wrapText="1"/>
    </xf>
    <xf numFmtId="3" fontId="32" fillId="0" borderId="0" xfId="40" applyNumberFormat="1" applyFont="1" applyFill="1" applyBorder="1" applyAlignment="1" applyProtection="1">
      <alignment vertical="top"/>
    </xf>
    <xf numFmtId="3" fontId="34" fillId="0" borderId="0" xfId="40" applyNumberFormat="1" applyFont="1" applyFill="1" applyBorder="1" applyAlignment="1" applyProtection="1">
      <alignment vertical="top" wrapText="1"/>
    </xf>
    <xf numFmtId="3" fontId="26" fillId="0" borderId="0" xfId="40" applyNumberFormat="1" applyFont="1" applyFill="1" applyBorder="1" applyAlignment="1" applyProtection="1">
      <alignment vertical="top" wrapText="1"/>
    </xf>
    <xf numFmtId="3" fontId="27" fillId="0" borderId="0" xfId="40" applyNumberFormat="1" applyFont="1" applyFill="1" applyBorder="1" applyAlignment="1" applyProtection="1">
      <alignment vertical="top" wrapText="1"/>
    </xf>
    <xf numFmtId="3" fontId="26" fillId="0" borderId="0" xfId="40" applyNumberFormat="1" applyFont="1" applyFill="1" applyBorder="1" applyAlignment="1">
      <alignment vertical="top" wrapText="1"/>
    </xf>
    <xf numFmtId="3" fontId="31" fillId="0" borderId="0" xfId="0" applyNumberFormat="1" applyFont="1" applyFill="1" applyBorder="1" applyAlignment="1">
      <alignment vertical="top" wrapText="1"/>
    </xf>
    <xf numFmtId="3" fontId="36" fillId="0" borderId="0" xfId="42" quotePrefix="1" applyNumberFormat="1" applyFont="1" applyFill="1" applyBorder="1" applyAlignment="1">
      <alignment vertical="top" wrapText="1"/>
    </xf>
    <xf numFmtId="3" fontId="24" fillId="0" borderId="0" xfId="40" applyNumberFormat="1" applyFont="1" applyFill="1" applyBorder="1" applyAlignment="1">
      <alignment vertical="top" wrapText="1"/>
    </xf>
    <xf numFmtId="3" fontId="26" fillId="0" borderId="0" xfId="42" applyNumberFormat="1" applyFont="1" applyFill="1" applyBorder="1" applyAlignment="1">
      <alignment vertical="top" wrapText="1"/>
    </xf>
    <xf numFmtId="3" fontId="36" fillId="0" borderId="0" xfId="0" quotePrefix="1" applyNumberFormat="1" applyFont="1" applyFill="1" applyAlignment="1">
      <alignment vertical="top"/>
    </xf>
    <xf numFmtId="3" fontId="26" fillId="0" borderId="0" xfId="42" applyNumberFormat="1" applyFont="1" applyFill="1" applyBorder="1" applyAlignment="1">
      <alignment vertical="top"/>
    </xf>
    <xf numFmtId="3" fontId="36" fillId="0" borderId="0" xfId="42" quotePrefix="1" applyNumberFormat="1" applyFont="1" applyFill="1" applyBorder="1" applyAlignment="1">
      <alignment vertical="top"/>
    </xf>
    <xf numFmtId="3" fontId="24" fillId="0" borderId="0" xfId="40" applyNumberFormat="1" applyFont="1" applyFill="1" applyAlignment="1">
      <alignment vertical="top" wrapText="1"/>
    </xf>
    <xf numFmtId="3" fontId="24" fillId="0" borderId="0" xfId="40" applyNumberFormat="1" applyFont="1" applyFill="1" applyAlignment="1">
      <alignment vertical="top"/>
    </xf>
    <xf numFmtId="3" fontId="31" fillId="0" borderId="0" xfId="42" applyNumberFormat="1" applyFont="1" applyFill="1" applyBorder="1" applyAlignment="1">
      <alignment vertical="top"/>
    </xf>
    <xf numFmtId="3" fontId="4" fillId="0" borderId="0" xfId="40" applyNumberFormat="1" applyFont="1" applyFill="1" applyBorder="1" applyAlignment="1">
      <alignment vertical="top" wrapText="1"/>
    </xf>
    <xf numFmtId="3" fontId="24" fillId="0" borderId="0" xfId="39" applyNumberFormat="1" applyFont="1" applyFill="1" applyBorder="1" applyAlignment="1" applyProtection="1">
      <alignment vertical="top" wrapText="1"/>
    </xf>
    <xf numFmtId="3" fontId="31" fillId="0" borderId="0" xfId="0" applyNumberFormat="1" applyFont="1" applyFill="1" applyAlignment="1">
      <alignment vertical="top" wrapText="1"/>
    </xf>
    <xf numFmtId="3" fontId="24" fillId="0" borderId="0" xfId="39" applyNumberFormat="1" applyFont="1" applyFill="1" applyBorder="1" applyAlignment="1" applyProtection="1">
      <alignment vertical="top"/>
    </xf>
    <xf numFmtId="3" fontId="27" fillId="0" borderId="0" xfId="42" applyNumberFormat="1" applyFont="1" applyFill="1" applyBorder="1" applyAlignment="1">
      <alignment vertical="top"/>
    </xf>
    <xf numFmtId="0" fontId="32" fillId="0" borderId="0" xfId="0" applyFont="1" applyFill="1" applyAlignment="1">
      <alignment horizontal="left" indent="2"/>
    </xf>
    <xf numFmtId="3" fontId="32" fillId="0" borderId="0" xfId="0" applyNumberFormat="1" applyFont="1" applyFill="1" applyAlignment="1"/>
    <xf numFmtId="3" fontId="32" fillId="0" borderId="0" xfId="0" applyNumberFormat="1" applyFont="1" applyFill="1"/>
    <xf numFmtId="0" fontId="27" fillId="0" borderId="0" xfId="0" applyFont="1" applyFill="1" applyAlignment="1">
      <alignment horizontal="left" indent="4"/>
    </xf>
    <xf numFmtId="0" fontId="27" fillId="0" borderId="0" xfId="0" applyFont="1" applyFill="1" applyAlignment="1">
      <alignment horizontal="left" wrapText="1" indent="4"/>
    </xf>
    <xf numFmtId="0" fontId="27" fillId="0" borderId="0" xfId="0" applyFont="1" applyFill="1" applyAlignment="1">
      <alignment horizontal="left" indent="6"/>
    </xf>
    <xf numFmtId="0" fontId="26" fillId="0" borderId="0" xfId="0" applyFont="1" applyFill="1" applyAlignment="1">
      <alignment horizontal="left" indent="1"/>
    </xf>
    <xf numFmtId="3" fontId="33" fillId="0" borderId="0" xfId="0" applyNumberFormat="1" applyFont="1" applyFill="1" applyAlignment="1"/>
    <xf numFmtId="3" fontId="33" fillId="0" borderId="0" xfId="0" applyNumberFormat="1" applyFont="1" applyFill="1"/>
    <xf numFmtId="0" fontId="32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 indent="4"/>
    </xf>
    <xf numFmtId="0" fontId="34" fillId="0" borderId="21" xfId="0" applyFont="1" applyFill="1" applyBorder="1" applyAlignment="1">
      <alignment horizontal="left" indent="1"/>
    </xf>
    <xf numFmtId="3" fontId="34" fillId="0" borderId="21" xfId="0" applyNumberFormat="1" applyFont="1" applyFill="1" applyBorder="1" applyAlignment="1"/>
    <xf numFmtId="3" fontId="34" fillId="0" borderId="21" xfId="0" applyNumberFormat="1" applyFont="1" applyFill="1" applyBorder="1"/>
    <xf numFmtId="0" fontId="34" fillId="0" borderId="0" xfId="0" applyFont="1" applyFill="1" applyBorder="1" applyAlignment="1">
      <alignment horizontal="left" indent="1"/>
    </xf>
    <xf numFmtId="3" fontId="34" fillId="0" borderId="0" xfId="0" applyNumberFormat="1" applyFont="1" applyFill="1" applyBorder="1" applyAlignment="1"/>
    <xf numFmtId="3" fontId="34" fillId="0" borderId="0" xfId="0" applyNumberFormat="1" applyFont="1" applyFill="1" applyBorder="1"/>
    <xf numFmtId="0" fontId="26" fillId="0" borderId="0" xfId="0" applyFont="1" applyFill="1" applyBorder="1" applyAlignment="1">
      <alignment horizontal="left" indent="1"/>
    </xf>
    <xf numFmtId="0" fontId="35" fillId="0" borderId="0" xfId="0" applyFont="1" applyFill="1" applyAlignment="1">
      <alignment horizontal="left"/>
    </xf>
    <xf numFmtId="0" fontId="32" fillId="0" borderId="0" xfId="0" applyFont="1" applyFill="1" applyAlignment="1">
      <alignment horizontal="left" indent="1"/>
    </xf>
    <xf numFmtId="0" fontId="36" fillId="0" borderId="0" xfId="0" applyFont="1" applyFill="1" applyAlignment="1">
      <alignment horizontal="left" indent="6"/>
    </xf>
    <xf numFmtId="3" fontId="36" fillId="0" borderId="0" xfId="0" applyNumberFormat="1" applyFont="1" applyFill="1" applyAlignment="1"/>
    <xf numFmtId="3" fontId="36" fillId="0" borderId="0" xfId="0" applyNumberFormat="1" applyFont="1" applyFill="1"/>
    <xf numFmtId="0" fontId="27" fillId="0" borderId="0" xfId="0" applyFont="1" applyAlignment="1">
      <alignment horizontal="left" indent="4"/>
    </xf>
    <xf numFmtId="44" fontId="68" fillId="27" borderId="16" xfId="92" applyFont="1" applyFill="1" applyBorder="1" applyAlignment="1">
      <alignment horizontal="center" vertical="top" wrapText="1"/>
    </xf>
    <xf numFmtId="44" fontId="68" fillId="27" borderId="16" xfId="92" applyFont="1" applyFill="1" applyBorder="1" applyAlignment="1">
      <alignment horizontal="center" vertical="top" wrapText="1"/>
    </xf>
    <xf numFmtId="0" fontId="0" fillId="0" borderId="0" xfId="0" applyAlignment="1">
      <alignment horizontal="left" wrapText="1" indent="5"/>
    </xf>
    <xf numFmtId="44" fontId="68" fillId="27" borderId="14" xfId="92" applyFont="1" applyFill="1" applyBorder="1" applyAlignment="1">
      <alignment horizontal="center" vertical="top" wrapText="1"/>
    </xf>
    <xf numFmtId="44" fontId="68" fillId="27" borderId="17" xfId="92" applyFont="1" applyFill="1" applyBorder="1" applyAlignment="1">
      <alignment horizontal="center" vertical="top" wrapText="1"/>
    </xf>
    <xf numFmtId="0" fontId="4" fillId="0" borderId="0" xfId="156"/>
    <xf numFmtId="0" fontId="25" fillId="0" borderId="0" xfId="156" applyFont="1" applyFill="1" applyBorder="1" applyAlignment="1">
      <alignment horizontal="left"/>
    </xf>
    <xf numFmtId="0" fontId="26" fillId="0" borderId="0" xfId="156" applyFont="1"/>
    <xf numFmtId="0" fontId="4" fillId="0" borderId="0" xfId="156" applyFill="1"/>
    <xf numFmtId="0" fontId="26" fillId="0" borderId="0" xfId="156" applyFont="1" applyFill="1"/>
    <xf numFmtId="0" fontId="4" fillId="0" borderId="0" xfId="156" applyFont="1"/>
    <xf numFmtId="0" fontId="37" fillId="0" borderId="0" xfId="156" applyFont="1" applyBorder="1"/>
    <xf numFmtId="3" fontId="76" fillId="0" borderId="0" xfId="0" applyNumberFormat="1" applyFont="1" applyFill="1"/>
    <xf numFmtId="0" fontId="25" fillId="0" borderId="0" xfId="156" applyFont="1" applyBorder="1" applyAlignment="1">
      <alignment horizontal="left" vertical="top" wrapText="1"/>
    </xf>
    <xf numFmtId="0" fontId="25" fillId="0" borderId="0" xfId="156" applyFont="1" applyBorder="1" applyAlignment="1">
      <alignment horizontal="left" vertical="top"/>
    </xf>
    <xf numFmtId="44" fontId="68" fillId="27" borderId="13" xfId="92" applyFont="1" applyFill="1" applyBorder="1" applyAlignment="1">
      <alignment horizontal="center" vertical="top" wrapText="1"/>
    </xf>
    <xf numFmtId="0" fontId="32" fillId="28" borderId="0" xfId="0" applyFont="1" applyFill="1" applyBorder="1" applyAlignment="1">
      <alignment horizontal="left" vertical="top"/>
    </xf>
    <xf numFmtId="0" fontId="36" fillId="28" borderId="0" xfId="0" applyFont="1" applyFill="1" applyBorder="1"/>
    <xf numFmtId="0" fontId="4" fillId="0" borderId="0" xfId="156" quotePrefix="1" applyFont="1"/>
    <xf numFmtId="0" fontId="27" fillId="0" borderId="0" xfId="156" applyFont="1"/>
    <xf numFmtId="0" fontId="84" fillId="0" borderId="0" xfId="157" applyAlignment="1">
      <alignment vertical="center"/>
    </xf>
    <xf numFmtId="0" fontId="85" fillId="0" borderId="0" xfId="48" applyFont="1" applyAlignment="1">
      <alignment horizontal="center"/>
    </xf>
    <xf numFmtId="0" fontId="44" fillId="0" borderId="0" xfId="48" applyFont="1" applyAlignment="1">
      <alignment horizontal="center"/>
    </xf>
    <xf numFmtId="0" fontId="44" fillId="0" borderId="0" xfId="48" applyFont="1" applyAlignment="1">
      <alignment horizontal="right"/>
    </xf>
    <xf numFmtId="0" fontId="44" fillId="0" borderId="10" xfId="158" applyFont="1" applyFill="1" applyBorder="1" applyAlignment="1" applyProtection="1">
      <alignment horizontal="center" vertical="top" wrapText="1"/>
    </xf>
    <xf numFmtId="0" fontId="44" fillId="0" borderId="11" xfId="158" applyFont="1" applyFill="1" applyBorder="1" applyAlignment="1" applyProtection="1">
      <alignment horizontal="center" vertical="top" wrapText="1"/>
    </xf>
    <xf numFmtId="3" fontId="4" fillId="0" borderId="12" xfId="158" applyNumberFormat="1" applyFont="1" applyFill="1" applyBorder="1" applyAlignment="1" applyProtection="1">
      <alignment horizontal="center" vertical="top" wrapText="1"/>
    </xf>
    <xf numFmtId="3" fontId="4" fillId="0" borderId="13" xfId="158" applyNumberFormat="1" applyFont="1" applyFill="1" applyBorder="1" applyAlignment="1" applyProtection="1">
      <alignment horizontal="center" vertical="top" wrapText="1"/>
    </xf>
    <xf numFmtId="0" fontId="26" fillId="30" borderId="17" xfId="158" applyFont="1" applyFill="1" applyBorder="1" applyAlignment="1" applyProtection="1">
      <alignment horizontal="left" vertical="top" wrapText="1"/>
    </xf>
    <xf numFmtId="0" fontId="26" fillId="30" borderId="19" xfId="158" applyFont="1" applyFill="1" applyBorder="1" applyAlignment="1" applyProtection="1">
      <alignment horizontal="left" vertical="top" wrapText="1"/>
    </xf>
    <xf numFmtId="3" fontId="26" fillId="30" borderId="19" xfId="158" applyNumberFormat="1" applyFont="1" applyFill="1" applyBorder="1" applyAlignment="1" applyProtection="1">
      <alignment vertical="top"/>
      <protection locked="0"/>
    </xf>
    <xf numFmtId="0" fontId="26" fillId="30" borderId="23" xfId="158" applyFont="1" applyFill="1" applyBorder="1" applyAlignment="1" applyProtection="1">
      <alignment horizontal="left" vertical="top" wrapText="1"/>
      <protection locked="0"/>
    </xf>
    <xf numFmtId="0" fontId="85" fillId="30" borderId="19" xfId="158" applyFont="1" applyFill="1" applyBorder="1" applyAlignment="1" applyProtection="1">
      <alignment horizontal="left" vertical="top"/>
      <protection locked="0"/>
    </xf>
    <xf numFmtId="0" fontId="4" fillId="0" borderId="15" xfId="158" applyFont="1" applyFill="1" applyBorder="1" applyAlignment="1" applyProtection="1">
      <alignment horizontal="right" vertical="top" wrapText="1"/>
      <protection locked="0"/>
    </xf>
    <xf numFmtId="0" fontId="44" fillId="0" borderId="13" xfId="158" applyFont="1" applyFill="1" applyBorder="1" applyAlignment="1" applyProtection="1">
      <alignment horizontal="left" vertical="top"/>
      <protection locked="0"/>
    </xf>
    <xf numFmtId="3" fontId="4" fillId="0" borderId="13" xfId="158" applyNumberFormat="1" applyFont="1" applyFill="1" applyBorder="1" applyAlignment="1" applyProtection="1">
      <alignment vertical="top"/>
      <protection locked="0"/>
    </xf>
    <xf numFmtId="0" fontId="4" fillId="0" borderId="23" xfId="158" applyFont="1" applyFill="1" applyBorder="1" applyAlignment="1" applyProtection="1">
      <alignment horizontal="right" vertical="top" wrapText="1"/>
      <protection locked="0"/>
    </xf>
    <xf numFmtId="0" fontId="4" fillId="0" borderId="19" xfId="158" applyFont="1" applyFill="1" applyBorder="1" applyAlignment="1" applyProtection="1">
      <alignment horizontal="left" vertical="top" wrapText="1"/>
      <protection locked="0"/>
    </xf>
    <xf numFmtId="0" fontId="26" fillId="31" borderId="13" xfId="158" applyFont="1" applyFill="1" applyBorder="1" applyAlignment="1" applyProtection="1">
      <alignment horizontal="left" vertical="top" wrapText="1"/>
      <protection locked="0"/>
    </xf>
    <xf numFmtId="0" fontId="85" fillId="31" borderId="13" xfId="158" applyFont="1" applyFill="1" applyBorder="1" applyAlignment="1" applyProtection="1">
      <alignment horizontal="left" vertical="top"/>
      <protection locked="0"/>
    </xf>
    <xf numFmtId="3" fontId="26" fillId="31" borderId="13" xfId="158" applyNumberFormat="1" applyFont="1" applyFill="1" applyBorder="1" applyAlignment="1" applyProtection="1">
      <alignment vertical="top"/>
      <protection locked="0"/>
    </xf>
    <xf numFmtId="0" fontId="4" fillId="0" borderId="13" xfId="158" applyFont="1" applyFill="1" applyBorder="1" applyAlignment="1" applyProtection="1">
      <alignment horizontal="left" vertical="top" wrapText="1"/>
      <protection locked="0"/>
    </xf>
    <xf numFmtId="0" fontId="44" fillId="0" borderId="15" xfId="158" applyFont="1" applyFill="1" applyBorder="1" applyAlignment="1" applyProtection="1">
      <alignment horizontal="left" vertical="top"/>
      <protection locked="0"/>
    </xf>
    <xf numFmtId="3" fontId="4" fillId="0" borderId="23" xfId="158" applyNumberFormat="1" applyFont="1" applyFill="1" applyBorder="1" applyAlignment="1" applyProtection="1">
      <alignment vertical="top"/>
      <protection locked="0"/>
    </xf>
    <xf numFmtId="0" fontId="44" fillId="0" borderId="19" xfId="158" applyFont="1" applyFill="1" applyBorder="1" applyAlignment="1" applyProtection="1">
      <alignment horizontal="left" vertical="top"/>
      <protection locked="0"/>
    </xf>
    <xf numFmtId="3" fontId="4" fillId="0" borderId="19" xfId="158" applyNumberFormat="1" applyFont="1" applyFill="1" applyBorder="1" applyAlignment="1" applyProtection="1">
      <alignment vertical="top"/>
      <protection locked="0"/>
    </xf>
    <xf numFmtId="0" fontId="26" fillId="31" borderId="19" xfId="158" applyFont="1" applyFill="1" applyBorder="1" applyAlignment="1" applyProtection="1">
      <alignment horizontal="left" vertical="top" wrapText="1"/>
      <protection locked="0"/>
    </xf>
    <xf numFmtId="0" fontId="85" fillId="31" borderId="19" xfId="158" applyFont="1" applyFill="1" applyBorder="1" applyAlignment="1" applyProtection="1">
      <alignment horizontal="left" vertical="top"/>
      <protection locked="0"/>
    </xf>
    <xf numFmtId="3" fontId="26" fillId="31" borderId="19" xfId="158" applyNumberFormat="1" applyFont="1" applyFill="1" applyBorder="1" applyAlignment="1" applyProtection="1">
      <alignment vertical="top"/>
      <protection locked="0"/>
    </xf>
    <xf numFmtId="0" fontId="4" fillId="0" borderId="24" xfId="158" applyFont="1" applyFill="1" applyBorder="1" applyAlignment="1" applyProtection="1">
      <alignment horizontal="right" vertical="top" wrapText="1"/>
      <protection locked="0"/>
    </xf>
    <xf numFmtId="0" fontId="36" fillId="0" borderId="19" xfId="158" applyFont="1" applyFill="1" applyBorder="1" applyAlignment="1" applyProtection="1">
      <alignment horizontal="left" vertical="top" wrapText="1"/>
      <protection locked="0"/>
    </xf>
    <xf numFmtId="0" fontId="35" fillId="0" borderId="23" xfId="158" applyFont="1" applyFill="1" applyBorder="1" applyAlignment="1" applyProtection="1">
      <alignment horizontal="left" vertical="top" wrapText="1"/>
      <protection locked="0"/>
    </xf>
    <xf numFmtId="0" fontId="44" fillId="0" borderId="23" xfId="158" applyFont="1" applyFill="1" applyBorder="1" applyAlignment="1" applyProtection="1">
      <alignment horizontal="left" vertical="top"/>
      <protection locked="0"/>
    </xf>
    <xf numFmtId="0" fontId="35" fillId="0" borderId="19" xfId="158" applyFont="1" applyFill="1" applyBorder="1" applyAlignment="1" applyProtection="1">
      <alignment horizontal="left" vertical="top" wrapText="1"/>
      <protection locked="0"/>
    </xf>
    <xf numFmtId="0" fontId="38" fillId="0" borderId="22" xfId="158" applyFont="1" applyFill="1" applyBorder="1" applyAlignment="1" applyProtection="1">
      <alignment horizontal="left" vertical="top" wrapText="1"/>
      <protection locked="0"/>
    </xf>
    <xf numFmtId="3" fontId="4" fillId="0" borderId="15" xfId="158" applyNumberFormat="1" applyFont="1" applyFill="1" applyBorder="1" applyAlignment="1" applyProtection="1">
      <alignment vertical="top"/>
      <protection locked="0"/>
    </xf>
    <xf numFmtId="0" fontId="44" fillId="0" borderId="0" xfId="158" applyFont="1" applyBorder="1" applyAlignment="1">
      <alignment horizontal="left" wrapText="1"/>
    </xf>
    <xf numFmtId="3" fontId="4" fillId="0" borderId="12" xfId="158" applyNumberFormat="1" applyFont="1" applyFill="1" applyBorder="1" applyAlignment="1" applyProtection="1">
      <alignment vertical="top"/>
      <protection locked="0"/>
    </xf>
    <xf numFmtId="0" fontId="4" fillId="0" borderId="10" xfId="158" applyFont="1" applyFill="1" applyBorder="1" applyAlignment="1" applyProtection="1">
      <alignment horizontal="left" vertical="top" wrapText="1"/>
      <protection locked="0"/>
    </xf>
    <xf numFmtId="0" fontId="44" fillId="0" borderId="11" xfId="158" applyFont="1" applyFill="1" applyBorder="1" applyAlignment="1" applyProtection="1">
      <alignment horizontal="left" vertical="top"/>
      <protection locked="0"/>
    </xf>
    <xf numFmtId="3" fontId="24" fillId="30" borderId="12" xfId="158" applyNumberFormat="1" applyFont="1" applyFill="1" applyBorder="1" applyAlignment="1" applyProtection="1">
      <alignment horizontal="right" vertical="top" wrapText="1"/>
    </xf>
    <xf numFmtId="3" fontId="24" fillId="30" borderId="13" xfId="158" applyNumberFormat="1" applyFont="1" applyFill="1" applyBorder="1" applyAlignment="1" applyProtection="1">
      <alignment horizontal="right" vertical="top" wrapText="1"/>
    </xf>
    <xf numFmtId="3" fontId="26" fillId="30" borderId="13" xfId="158" applyNumberFormat="1" applyFont="1" applyFill="1" applyBorder="1" applyAlignment="1" applyProtection="1">
      <alignment vertical="top"/>
      <protection locked="0"/>
    </xf>
    <xf numFmtId="0" fontId="44" fillId="0" borderId="12" xfId="158" applyFont="1" applyFill="1" applyBorder="1" applyAlignment="1" applyProtection="1">
      <alignment horizontal="left" vertical="top"/>
      <protection locked="0"/>
    </xf>
    <xf numFmtId="3" fontId="87" fillId="0" borderId="13" xfId="158" applyNumberFormat="1" applyFont="1" applyFill="1" applyBorder="1" applyAlignment="1" applyProtection="1">
      <alignment vertical="top"/>
      <protection locked="0"/>
    </xf>
    <xf numFmtId="0" fontId="4" fillId="0" borderId="23" xfId="158" applyFont="1" applyFill="1" applyBorder="1" applyAlignment="1" applyProtection="1">
      <alignment horizontal="left" vertical="top" wrapText="1"/>
      <protection locked="0"/>
    </xf>
    <xf numFmtId="0" fontId="85" fillId="31" borderId="10" xfId="158" applyFont="1" applyFill="1" applyBorder="1" applyAlignment="1" applyProtection="1">
      <alignment horizontal="left" vertical="top"/>
      <protection locked="0"/>
    </xf>
    <xf numFmtId="0" fontId="33" fillId="0" borderId="13" xfId="158" applyFont="1" applyFill="1" applyBorder="1" applyAlignment="1" applyProtection="1">
      <alignment horizontal="left" vertical="top" wrapText="1"/>
      <protection locked="0"/>
    </xf>
    <xf numFmtId="0" fontId="88" fillId="0" borderId="13" xfId="158" applyFont="1" applyFill="1" applyBorder="1" applyAlignment="1" applyProtection="1">
      <alignment horizontal="left" vertical="top"/>
      <protection locked="0"/>
    </xf>
    <xf numFmtId="3" fontId="33" fillId="0" borderId="13" xfId="158" applyNumberFormat="1" applyFont="1" applyFill="1" applyBorder="1" applyAlignment="1" applyProtection="1">
      <alignment vertical="top"/>
      <protection locked="0"/>
    </xf>
    <xf numFmtId="0" fontId="33" fillId="0" borderId="19" xfId="158" applyFont="1" applyFill="1" applyBorder="1" applyAlignment="1" applyProtection="1">
      <alignment horizontal="left" vertical="top" wrapText="1"/>
      <protection locked="0"/>
    </xf>
    <xf numFmtId="0" fontId="24" fillId="0" borderId="13" xfId="158" applyFont="1" applyFill="1" applyBorder="1" applyAlignment="1" applyProtection="1">
      <alignment horizontal="left" vertical="top"/>
      <protection locked="0"/>
    </xf>
    <xf numFmtId="3" fontId="24" fillId="0" borderId="13" xfId="158" applyNumberFormat="1" applyFont="1" applyFill="1" applyBorder="1" applyAlignment="1" applyProtection="1">
      <alignment vertical="top"/>
      <protection locked="0"/>
    </xf>
    <xf numFmtId="0" fontId="24" fillId="0" borderId="15" xfId="158" applyFont="1" applyFill="1" applyBorder="1" applyAlignment="1" applyProtection="1">
      <alignment horizontal="left" vertical="top" wrapText="1"/>
      <protection locked="0"/>
    </xf>
    <xf numFmtId="0" fontId="33" fillId="0" borderId="15" xfId="158" applyFont="1" applyFill="1" applyBorder="1" applyAlignment="1" applyProtection="1">
      <alignment horizontal="left" vertical="top" wrapText="1"/>
      <protection locked="0"/>
    </xf>
    <xf numFmtId="3" fontId="33" fillId="0" borderId="15" xfId="158" applyNumberFormat="1" applyFont="1" applyFill="1" applyBorder="1" applyAlignment="1" applyProtection="1">
      <alignment vertical="top"/>
      <protection locked="0"/>
    </xf>
    <xf numFmtId="0" fontId="88" fillId="0" borderId="10" xfId="158" applyFont="1" applyFill="1" applyBorder="1" applyAlignment="1" applyProtection="1">
      <alignment horizontal="left" vertical="top"/>
      <protection locked="0"/>
    </xf>
    <xf numFmtId="0" fontId="4" fillId="0" borderId="22" xfId="158" applyFont="1" applyFill="1" applyBorder="1" applyAlignment="1" applyProtection="1">
      <alignment horizontal="right" vertical="top" wrapText="1"/>
      <protection locked="0"/>
    </xf>
    <xf numFmtId="0" fontId="4" fillId="0" borderId="24" xfId="158" applyFont="1" applyFill="1" applyBorder="1" applyAlignment="1" applyProtection="1">
      <alignment horizontal="left" vertical="top" wrapText="1"/>
      <protection locked="0"/>
    </xf>
    <xf numFmtId="0" fontId="4" fillId="0" borderId="15" xfId="158" applyFont="1" applyFill="1" applyBorder="1" applyAlignment="1" applyProtection="1">
      <alignment horizontal="left" vertical="top"/>
      <protection locked="0"/>
    </xf>
    <xf numFmtId="0" fontId="4" fillId="0" borderId="13" xfId="158" applyFont="1" applyFill="1" applyBorder="1" applyAlignment="1" applyProtection="1">
      <alignment horizontal="left" vertical="top"/>
      <protection locked="0"/>
    </xf>
    <xf numFmtId="0" fontId="4" fillId="0" borderId="14" xfId="158" applyFont="1" applyFill="1" applyBorder="1" applyAlignment="1" applyProtection="1">
      <alignment horizontal="left" vertical="top" wrapText="1"/>
      <protection locked="0"/>
    </xf>
    <xf numFmtId="0" fontId="44" fillId="0" borderId="10" xfId="158" applyFont="1" applyFill="1" applyBorder="1" applyAlignment="1" applyProtection="1">
      <alignment horizontal="left" vertical="top"/>
      <protection locked="0"/>
    </xf>
    <xf numFmtId="0" fontId="38" fillId="0" borderId="10" xfId="158" applyFont="1" applyFill="1" applyBorder="1" applyAlignment="1" applyProtection="1">
      <alignment horizontal="left" vertical="top" wrapText="1"/>
      <protection locked="0"/>
    </xf>
    <xf numFmtId="0" fontId="43" fillId="0" borderId="10" xfId="158" applyFont="1" applyFill="1" applyBorder="1" applyAlignment="1" applyProtection="1">
      <alignment horizontal="right" vertical="top" wrapText="1"/>
      <protection locked="0"/>
    </xf>
    <xf numFmtId="0" fontId="43" fillId="0" borderId="13" xfId="158" applyFont="1" applyFill="1" applyBorder="1" applyAlignment="1" applyProtection="1">
      <alignment horizontal="left" vertical="top"/>
      <protection locked="0"/>
    </xf>
    <xf numFmtId="3" fontId="43" fillId="0" borderId="13" xfId="158" applyNumberFormat="1" applyFont="1" applyFill="1" applyBorder="1" applyAlignment="1" applyProtection="1">
      <alignment vertical="top"/>
      <protection locked="0"/>
    </xf>
    <xf numFmtId="0" fontId="90" fillId="0" borderId="13" xfId="158" applyFont="1" applyFill="1" applyBorder="1" applyAlignment="1" applyProtection="1">
      <alignment horizontal="left" vertical="top"/>
      <protection locked="0"/>
    </xf>
    <xf numFmtId="0" fontId="4" fillId="0" borderId="15" xfId="158" applyFont="1" applyFill="1" applyBorder="1" applyAlignment="1" applyProtection="1">
      <alignment horizontal="left" vertical="top" wrapText="1"/>
      <protection locked="0"/>
    </xf>
    <xf numFmtId="0" fontId="38" fillId="0" borderId="13" xfId="158" applyFont="1" applyFill="1" applyBorder="1" applyAlignment="1" applyProtection="1">
      <alignment horizontal="left" vertical="top" wrapText="1"/>
      <protection locked="0"/>
    </xf>
    <xf numFmtId="3" fontId="38" fillId="0" borderId="13" xfId="158" applyNumberFormat="1" applyFont="1" applyFill="1" applyBorder="1" applyAlignment="1" applyProtection="1">
      <alignment vertical="top"/>
      <protection locked="0"/>
    </xf>
    <xf numFmtId="0" fontId="37" fillId="31" borderId="13" xfId="158" applyFont="1" applyFill="1" applyBorder="1" applyAlignment="1" applyProtection="1">
      <alignment horizontal="left" vertical="top" wrapText="1"/>
      <protection locked="0"/>
    </xf>
    <xf numFmtId="0" fontId="91" fillId="31" borderId="13" xfId="158" applyFont="1" applyFill="1" applyBorder="1" applyAlignment="1" applyProtection="1">
      <alignment horizontal="left" vertical="top"/>
      <protection locked="0"/>
    </xf>
    <xf numFmtId="3" fontId="37" fillId="31" borderId="13" xfId="158" applyNumberFormat="1" applyFont="1" applyFill="1" applyBorder="1" applyAlignment="1" applyProtection="1">
      <alignment vertical="top"/>
      <protection locked="0"/>
    </xf>
    <xf numFmtId="0" fontId="38" fillId="0" borderId="24" xfId="158" applyFont="1" applyFill="1" applyBorder="1" applyAlignment="1" applyProtection="1">
      <alignment horizontal="left" vertical="top" wrapText="1"/>
      <protection locked="0"/>
    </xf>
    <xf numFmtId="0" fontId="35" fillId="0" borderId="13" xfId="158" applyFont="1" applyFill="1" applyBorder="1" applyAlignment="1" applyProtection="1">
      <alignment horizontal="left" vertical="top" wrapText="1"/>
      <protection locked="0"/>
    </xf>
    <xf numFmtId="0" fontId="81" fillId="0" borderId="13" xfId="158" applyFont="1" applyFill="1" applyBorder="1" applyAlignment="1" applyProtection="1">
      <alignment horizontal="left" vertical="top"/>
      <protection locked="0"/>
    </xf>
    <xf numFmtId="3" fontId="35" fillId="0" borderId="13" xfId="158" applyNumberFormat="1" applyFont="1" applyFill="1" applyBorder="1" applyAlignment="1" applyProtection="1">
      <alignment vertical="top"/>
      <protection locked="0"/>
    </xf>
    <xf numFmtId="0" fontId="24" fillId="0" borderId="19" xfId="158" applyFont="1" applyFill="1" applyBorder="1" applyAlignment="1" applyProtection="1">
      <alignment horizontal="left" vertical="top" wrapText="1"/>
      <protection locked="0"/>
    </xf>
    <xf numFmtId="0" fontId="24" fillId="0" borderId="23" xfId="158" applyFont="1" applyFill="1" applyBorder="1" applyAlignment="1" applyProtection="1">
      <alignment horizontal="left" vertical="top" wrapText="1" indent="1"/>
      <protection locked="0"/>
    </xf>
    <xf numFmtId="3" fontId="89" fillId="0" borderId="23" xfId="158" applyNumberFormat="1" applyFont="1" applyFill="1" applyBorder="1" applyAlignment="1" applyProtection="1">
      <alignment vertical="top"/>
      <protection locked="0"/>
    </xf>
    <xf numFmtId="0" fontId="24" fillId="0" borderId="23" xfId="158" applyFont="1" applyFill="1" applyBorder="1" applyAlignment="1">
      <alignment horizontal="left" indent="1"/>
    </xf>
    <xf numFmtId="3" fontId="92" fillId="0" borderId="23" xfId="158" applyNumberFormat="1" applyFont="1" applyFill="1" applyBorder="1" applyAlignment="1" applyProtection="1">
      <alignment vertical="top"/>
      <protection locked="0"/>
    </xf>
    <xf numFmtId="0" fontId="24" fillId="0" borderId="15" xfId="158" applyFont="1" applyFill="1" applyBorder="1" applyAlignment="1" applyProtection="1">
      <alignment horizontal="left" vertical="top" wrapText="1" indent="1"/>
      <protection locked="0"/>
    </xf>
    <xf numFmtId="0" fontId="87" fillId="0" borderId="15" xfId="158" applyFont="1" applyFill="1" applyBorder="1" applyAlignment="1" applyProtection="1">
      <alignment horizontal="left" vertical="top" wrapText="1"/>
      <protection locked="0"/>
    </xf>
    <xf numFmtId="3" fontId="89" fillId="0" borderId="15" xfId="158" applyNumberFormat="1" applyFont="1" applyFill="1" applyBorder="1" applyAlignment="1" applyProtection="1">
      <alignment vertical="top"/>
      <protection locked="0"/>
    </xf>
    <xf numFmtId="0" fontId="26" fillId="30" borderId="12" xfId="158" applyFont="1" applyFill="1" applyBorder="1" applyAlignment="1" applyProtection="1">
      <alignment horizontal="left" vertical="top" wrapText="1" indent="1"/>
    </xf>
    <xf numFmtId="0" fontId="26" fillId="30" borderId="13" xfId="158" applyFont="1" applyFill="1" applyBorder="1" applyAlignment="1" applyProtection="1">
      <alignment horizontal="left" vertical="top" wrapText="1" indent="1"/>
    </xf>
    <xf numFmtId="0" fontId="26" fillId="30" borderId="19" xfId="158" applyFont="1" applyFill="1" applyBorder="1" applyAlignment="1" applyProtection="1">
      <alignment horizontal="left" vertical="top" wrapText="1" indent="1"/>
      <protection locked="0"/>
    </xf>
    <xf numFmtId="0" fontId="26" fillId="30" borderId="19" xfId="158" applyFont="1" applyFill="1" applyBorder="1" applyAlignment="1" applyProtection="1">
      <alignment horizontal="left" vertical="top"/>
      <protection locked="0"/>
    </xf>
    <xf numFmtId="0" fontId="24" fillId="0" borderId="13" xfId="158" applyFont="1" applyFill="1" applyBorder="1" applyAlignment="1" applyProtection="1">
      <alignment horizontal="left" vertical="top" wrapText="1" indent="1"/>
      <protection locked="0"/>
    </xf>
    <xf numFmtId="3" fontId="89" fillId="0" borderId="12" xfId="158" applyNumberFormat="1" applyFont="1" applyFill="1" applyBorder="1" applyAlignment="1" applyProtection="1">
      <alignment vertical="top"/>
      <protection locked="0"/>
    </xf>
    <xf numFmtId="0" fontId="26" fillId="30" borderId="12" xfId="158" applyFont="1" applyFill="1" applyBorder="1" applyAlignment="1" applyProtection="1">
      <alignment horizontal="left" vertical="top" wrapText="1"/>
    </xf>
    <xf numFmtId="0" fontId="26" fillId="30" borderId="13" xfId="158" applyFont="1" applyFill="1" applyBorder="1" applyAlignment="1" applyProtection="1">
      <alignment horizontal="left" vertical="top" wrapText="1"/>
    </xf>
    <xf numFmtId="0" fontId="26" fillId="30" borderId="13" xfId="158" applyFont="1" applyFill="1" applyBorder="1" applyAlignment="1" applyProtection="1">
      <alignment horizontal="left" vertical="top" wrapText="1"/>
      <protection locked="0"/>
    </xf>
    <xf numFmtId="0" fontId="4" fillId="0" borderId="13" xfId="158" applyFont="1" applyFill="1" applyBorder="1" applyAlignment="1" applyProtection="1">
      <alignment horizontal="left" vertical="top" wrapText="1" indent="1"/>
      <protection locked="0"/>
    </xf>
    <xf numFmtId="0" fontId="26" fillId="32" borderId="12" xfId="158" applyFont="1" applyFill="1" applyBorder="1" applyAlignment="1" applyProtection="1">
      <alignment horizontal="left" vertical="top" wrapText="1" indent="1"/>
    </xf>
    <xf numFmtId="0" fontId="26" fillId="32" borderId="13" xfId="158" applyFont="1" applyFill="1" applyBorder="1" applyAlignment="1" applyProtection="1">
      <alignment horizontal="left" vertical="top" wrapText="1" indent="1"/>
    </xf>
    <xf numFmtId="0" fontId="4" fillId="0" borderId="13" xfId="158" applyFont="1" applyFill="1" applyBorder="1" applyAlignment="1" applyProtection="1">
      <alignment horizontal="left" vertical="top" wrapText="1"/>
    </xf>
    <xf numFmtId="0" fontId="24" fillId="0" borderId="19" xfId="158" applyFont="1" applyFill="1" applyBorder="1" applyAlignment="1" applyProtection="1">
      <alignment horizontal="left" vertical="top" wrapText="1" indent="1"/>
      <protection locked="0"/>
    </xf>
    <xf numFmtId="0" fontId="4" fillId="0" borderId="14" xfId="158" applyFont="1" applyFill="1" applyBorder="1" applyAlignment="1" applyProtection="1">
      <alignment horizontal="left" vertical="top" wrapText="1"/>
    </xf>
    <xf numFmtId="0" fontId="24" fillId="0" borderId="13" xfId="39" applyNumberFormat="1" applyFont="1" applyFill="1" applyBorder="1" applyAlignment="1" applyProtection="1">
      <alignment horizontal="left" vertical="top" indent="1"/>
    </xf>
    <xf numFmtId="0" fontId="26" fillId="31" borderId="10" xfId="158" applyFont="1" applyFill="1" applyBorder="1" applyAlignment="1" applyProtection="1">
      <alignment horizontal="left" vertical="top"/>
      <protection locked="0"/>
    </xf>
    <xf numFmtId="0" fontId="26" fillId="0" borderId="10" xfId="158" applyFont="1" applyFill="1" applyBorder="1" applyAlignment="1" applyProtection="1">
      <alignment horizontal="left" vertical="top" wrapText="1"/>
      <protection locked="0"/>
    </xf>
    <xf numFmtId="0" fontId="85" fillId="0" borderId="11" xfId="158" applyFont="1" applyFill="1" applyBorder="1" applyAlignment="1" applyProtection="1">
      <alignment horizontal="left" vertical="top"/>
      <protection locked="0"/>
    </xf>
    <xf numFmtId="3" fontId="26" fillId="0" borderId="12" xfId="158" applyNumberFormat="1" applyFont="1" applyFill="1" applyBorder="1" applyAlignment="1" applyProtection="1">
      <alignment vertical="top"/>
      <protection locked="0"/>
    </xf>
    <xf numFmtId="3" fontId="26" fillId="0" borderId="13" xfId="158" applyNumberFormat="1" applyFont="1" applyFill="1" applyBorder="1" applyAlignment="1" applyProtection="1">
      <alignment vertical="top"/>
      <protection locked="0"/>
    </xf>
    <xf numFmtId="0" fontId="26" fillId="33" borderId="12" xfId="158" applyFont="1" applyFill="1" applyBorder="1" applyAlignment="1" applyProtection="1">
      <alignment horizontal="left" vertical="top" wrapText="1" indent="1"/>
    </xf>
    <xf numFmtId="3" fontId="85" fillId="31" borderId="13" xfId="158" applyNumberFormat="1" applyFont="1" applyFill="1" applyBorder="1" applyAlignment="1" applyProtection="1">
      <alignment vertical="top"/>
      <protection locked="0"/>
    </xf>
    <xf numFmtId="3" fontId="89" fillId="0" borderId="0" xfId="48" applyNumberFormat="1" applyFont="1"/>
    <xf numFmtId="3" fontId="86" fillId="0" borderId="0" xfId="48" applyNumberFormat="1" applyFont="1"/>
    <xf numFmtId="3" fontId="26" fillId="0" borderId="0" xfId="48" applyNumberFormat="1" applyFont="1"/>
    <xf numFmtId="0" fontId="90" fillId="0" borderId="0" xfId="158" applyFont="1" applyFill="1" applyBorder="1" applyAlignment="1" applyProtection="1">
      <alignment horizontal="left" vertical="top"/>
      <protection locked="0"/>
    </xf>
    <xf numFmtId="0" fontId="90" fillId="0" borderId="0" xfId="158" applyFont="1" applyFill="1" applyBorder="1" applyAlignment="1" applyProtection="1">
      <alignment horizontal="left" vertical="top" wrapText="1"/>
      <protection locked="0"/>
    </xf>
    <xf numFmtId="0" fontId="4" fillId="0" borderId="0" xfId="54"/>
    <xf numFmtId="3" fontId="26" fillId="0" borderId="0" xfId="54" applyNumberFormat="1" applyFont="1"/>
    <xf numFmtId="0" fontId="4" fillId="0" borderId="0" xfId="48" applyFill="1"/>
    <xf numFmtId="0" fontId="88" fillId="0" borderId="0" xfId="158" applyFont="1" applyFill="1" applyBorder="1" applyAlignment="1" applyProtection="1">
      <alignment horizontal="left" vertical="top" wrapText="1"/>
      <protection locked="0"/>
    </xf>
    <xf numFmtId="44" fontId="68" fillId="27" borderId="13" xfId="92" applyFont="1" applyFill="1" applyBorder="1" applyAlignment="1">
      <alignment horizontal="left" vertical="top" wrapText="1"/>
    </xf>
    <xf numFmtId="44" fontId="68" fillId="27" borderId="13" xfId="92" applyFont="1" applyFill="1" applyBorder="1" applyAlignment="1">
      <alignment horizontal="right" vertical="top" wrapText="1"/>
    </xf>
    <xf numFmtId="0" fontId="24" fillId="0" borderId="23" xfId="48" applyFont="1" applyFill="1" applyBorder="1" applyAlignment="1">
      <alignment horizontal="left" indent="1"/>
    </xf>
    <xf numFmtId="0" fontId="24" fillId="0" borderId="22" xfId="158" applyFont="1" applyFill="1" applyBorder="1" applyAlignment="1">
      <alignment horizontal="left" indent="1"/>
    </xf>
    <xf numFmtId="0" fontId="92" fillId="0" borderId="23" xfId="158" applyFont="1" applyFill="1" applyBorder="1" applyAlignment="1">
      <alignment horizontal="left" indent="1"/>
    </xf>
    <xf numFmtId="0" fontId="24" fillId="0" borderId="22" xfId="48" applyFont="1" applyFill="1" applyBorder="1" applyAlignment="1">
      <alignment horizontal="left" indent="1"/>
    </xf>
    <xf numFmtId="0" fontId="26" fillId="33" borderId="13" xfId="158" applyFont="1" applyFill="1" applyBorder="1" applyAlignment="1" applyProtection="1">
      <alignment horizontal="right" vertical="top" wrapText="1" indent="1"/>
    </xf>
    <xf numFmtId="0" fontId="25" fillId="0" borderId="0" xfId="156" applyFont="1" applyBorder="1" applyAlignment="1">
      <alignment horizontal="left"/>
    </xf>
    <xf numFmtId="0" fontId="38" fillId="0" borderId="0" xfId="156" applyFont="1"/>
    <xf numFmtId="0" fontId="38" fillId="0" borderId="0" xfId="156" applyFont="1" applyFill="1" applyBorder="1" applyAlignment="1">
      <alignment horizontal="right"/>
    </xf>
    <xf numFmtId="0" fontId="26" fillId="0" borderId="0" xfId="156" applyFont="1" applyBorder="1"/>
    <xf numFmtId="3" fontId="26" fillId="0" borderId="0" xfId="156" applyNumberFormat="1" applyFont="1"/>
    <xf numFmtId="0" fontId="67" fillId="0" borderId="0" xfId="156" applyFont="1" applyBorder="1"/>
    <xf numFmtId="3" fontId="67" fillId="0" borderId="0" xfId="156" applyNumberFormat="1" applyFont="1"/>
    <xf numFmtId="0" fontId="67" fillId="0" borderId="0" xfId="156" applyFont="1" applyFill="1" applyBorder="1"/>
    <xf numFmtId="0" fontId="26" fillId="0" borderId="0" xfId="156" applyFont="1" applyFill="1" applyBorder="1"/>
    <xf numFmtId="0" fontId="67" fillId="0" borderId="0" xfId="156" applyFont="1"/>
    <xf numFmtId="0" fontId="4" fillId="0" borderId="0" xfId="156" applyFont="1" applyBorder="1"/>
    <xf numFmtId="0" fontId="37" fillId="0" borderId="0" xfId="0" applyFont="1" applyBorder="1"/>
    <xf numFmtId="0" fontId="38" fillId="0" borderId="0" xfId="0" applyFont="1" applyBorder="1"/>
    <xf numFmtId="0" fontId="4" fillId="0" borderId="0" xfId="0" applyFont="1" applyBorder="1"/>
    <xf numFmtId="0" fontId="68" fillId="27" borderId="10" xfId="92" applyNumberFormat="1" applyFont="1" applyFill="1" applyBorder="1" applyAlignment="1">
      <alignment horizontal="center" vertical="top" wrapText="1"/>
    </xf>
    <xf numFmtId="0" fontId="68" fillId="27" borderId="11" xfId="92" applyNumberFormat="1" applyFont="1" applyFill="1" applyBorder="1" applyAlignment="1">
      <alignment horizontal="center" vertical="top" wrapText="1"/>
    </xf>
    <xf numFmtId="0" fontId="68" fillId="27" borderId="12" xfId="92" applyNumberFormat="1" applyFont="1" applyFill="1" applyBorder="1" applyAlignment="1">
      <alignment horizontal="center" vertical="top" wrapText="1"/>
    </xf>
    <xf numFmtId="44" fontId="68" fillId="27" borderId="18" xfId="92" applyFont="1" applyFill="1" applyBorder="1" applyAlignment="1">
      <alignment horizontal="center" vertical="top" wrapText="1"/>
    </xf>
    <xf numFmtId="44" fontId="68" fillId="27" borderId="16" xfId="92" applyFont="1" applyFill="1" applyBorder="1" applyAlignment="1">
      <alignment horizontal="center" vertical="top" wrapText="1"/>
    </xf>
    <xf numFmtId="0" fontId="68" fillId="27" borderId="10" xfId="0" applyFont="1" applyFill="1" applyBorder="1" applyAlignment="1">
      <alignment horizontal="center" vertical="top" wrapText="1"/>
    </xf>
    <xf numFmtId="0" fontId="68" fillId="27" borderId="11" xfId="0" applyFont="1" applyFill="1" applyBorder="1" applyAlignment="1">
      <alignment horizontal="center" vertical="top" wrapText="1"/>
    </xf>
    <xf numFmtId="0" fontId="68" fillId="27" borderId="12" xfId="0" applyFont="1" applyFill="1" applyBorder="1" applyAlignment="1">
      <alignment horizontal="center" vertical="top" wrapText="1"/>
    </xf>
    <xf numFmtId="44" fontId="82" fillId="27" borderId="18" xfId="92" applyFont="1" applyFill="1" applyBorder="1" applyAlignment="1">
      <alignment horizontal="center" vertical="top" wrapText="1"/>
    </xf>
    <xf numFmtId="44" fontId="82" fillId="27" borderId="16" xfId="92" applyFont="1" applyFill="1" applyBorder="1" applyAlignment="1">
      <alignment horizontal="center" vertical="top" wrapText="1"/>
    </xf>
    <xf numFmtId="44" fontId="82" fillId="27" borderId="20" xfId="92" applyFont="1" applyFill="1" applyBorder="1" applyAlignment="1">
      <alignment horizontal="center" vertical="top" wrapText="1"/>
    </xf>
    <xf numFmtId="44" fontId="82" fillId="27" borderId="17" xfId="92" applyFont="1" applyFill="1" applyBorder="1" applyAlignment="1">
      <alignment horizontal="center" vertical="top" wrapText="1"/>
    </xf>
    <xf numFmtId="0" fontId="26" fillId="32" borderId="10" xfId="158" applyFont="1" applyFill="1" applyBorder="1" applyAlignment="1" applyProtection="1">
      <alignment horizontal="left" vertical="top" wrapText="1" indent="1"/>
    </xf>
    <xf numFmtId="0" fontId="26" fillId="32" borderId="11" xfId="158" applyFont="1" applyFill="1" applyBorder="1" applyAlignment="1" applyProtection="1">
      <alignment horizontal="left" vertical="top" wrapText="1" indent="1"/>
    </xf>
    <xf numFmtId="0" fontId="26" fillId="32" borderId="12" xfId="158" applyFont="1" applyFill="1" applyBorder="1" applyAlignment="1" applyProtection="1">
      <alignment horizontal="left" vertical="top" wrapText="1" indent="1"/>
    </xf>
    <xf numFmtId="0" fontId="26" fillId="33" borderId="10" xfId="158" applyFont="1" applyFill="1" applyBorder="1" applyAlignment="1" applyProtection="1">
      <alignment horizontal="left" vertical="top" wrapText="1" indent="1"/>
    </xf>
    <xf numFmtId="0" fontId="26" fillId="33" borderId="11" xfId="158" applyFont="1" applyFill="1" applyBorder="1" applyAlignment="1" applyProtection="1">
      <alignment horizontal="left" vertical="top" wrapText="1" indent="1"/>
    </xf>
    <xf numFmtId="0" fontId="26" fillId="33" borderId="12" xfId="158" applyFont="1" applyFill="1" applyBorder="1" applyAlignment="1" applyProtection="1">
      <alignment horizontal="left" vertical="top" wrapText="1" indent="1"/>
    </xf>
    <xf numFmtId="0" fontId="26" fillId="30" borderId="10" xfId="158" applyFont="1" applyFill="1" applyBorder="1" applyAlignment="1" applyProtection="1">
      <alignment horizontal="left" vertical="top" wrapText="1"/>
    </xf>
    <xf numFmtId="0" fontId="26" fillId="30" borderId="11" xfId="158" applyFont="1" applyFill="1" applyBorder="1" applyAlignment="1" applyProtection="1">
      <alignment horizontal="left" vertical="top" wrapText="1"/>
    </xf>
    <xf numFmtId="0" fontId="26" fillId="30" borderId="12" xfId="158" applyFont="1" applyFill="1" applyBorder="1" applyAlignment="1" applyProtection="1">
      <alignment horizontal="left" vertical="top" wrapText="1"/>
    </xf>
    <xf numFmtId="0" fontId="26" fillId="30" borderId="10" xfId="158" applyFont="1" applyFill="1" applyBorder="1" applyAlignment="1" applyProtection="1">
      <alignment horizontal="left" vertical="top" wrapText="1" indent="1"/>
    </xf>
    <xf numFmtId="0" fontId="26" fillId="30" borderId="11" xfId="158" applyFont="1" applyFill="1" applyBorder="1" applyAlignment="1" applyProtection="1">
      <alignment horizontal="left" vertical="top" wrapText="1" indent="1"/>
    </xf>
    <xf numFmtId="0" fontId="26" fillId="30" borderId="12" xfId="158" applyFont="1" applyFill="1" applyBorder="1" applyAlignment="1" applyProtection="1">
      <alignment horizontal="left" vertical="top" wrapText="1" indent="1"/>
    </xf>
    <xf numFmtId="0" fontId="68" fillId="27" borderId="13" xfId="92" applyNumberFormat="1" applyFont="1" applyFill="1" applyBorder="1" applyAlignment="1">
      <alignment horizontal="center" vertical="top" wrapText="1"/>
    </xf>
  </cellXfs>
  <cellStyles count="159">
    <cellStyle name="20% - Accent1" xfId="1" builtinId="30" customBuiltin="1"/>
    <cellStyle name="20% - Accent1 2" xfId="57"/>
    <cellStyle name="20% - Accent2" xfId="2" builtinId="34" customBuiltin="1"/>
    <cellStyle name="20% - Accent2 2" xfId="58"/>
    <cellStyle name="20% - Accent3" xfId="3" builtinId="38" customBuiltin="1"/>
    <cellStyle name="20% - Accent3 2" xfId="59"/>
    <cellStyle name="20% - Accent4" xfId="4" builtinId="42" customBuiltin="1"/>
    <cellStyle name="20% - Accent4 2" xfId="60"/>
    <cellStyle name="20% - Accent5" xfId="5" builtinId="46" customBuiltin="1"/>
    <cellStyle name="20% - Accent5 2" xfId="61"/>
    <cellStyle name="20% - Accent6" xfId="6" builtinId="50" customBuiltin="1"/>
    <cellStyle name="20% - Accent6 2" xfId="62"/>
    <cellStyle name="40% - Accent1" xfId="7" builtinId="31" customBuiltin="1"/>
    <cellStyle name="40% - Accent1 2" xfId="63"/>
    <cellStyle name="40% - Accent2" xfId="8" builtinId="35" customBuiltin="1"/>
    <cellStyle name="40% - Accent2 2" xfId="64"/>
    <cellStyle name="40% - Accent3" xfId="9" builtinId="39" customBuiltin="1"/>
    <cellStyle name="40% - Accent3 2" xfId="65"/>
    <cellStyle name="40% - Accent4" xfId="10" builtinId="43" customBuiltin="1"/>
    <cellStyle name="40% - Accent4 2" xfId="66"/>
    <cellStyle name="40% - Accent5" xfId="11" builtinId="47" customBuiltin="1"/>
    <cellStyle name="40% - Accent5 2" xfId="67"/>
    <cellStyle name="40% - Accent6" xfId="12" builtinId="51" customBuiltin="1"/>
    <cellStyle name="40% - Accent6 2" xfId="68"/>
    <cellStyle name="60% - Accent1" xfId="13" builtinId="32" customBuiltin="1"/>
    <cellStyle name="60% - Accent1 2" xfId="69"/>
    <cellStyle name="60% - Accent2" xfId="14" builtinId="36" customBuiltin="1"/>
    <cellStyle name="60% - Accent2 2" xfId="70"/>
    <cellStyle name="60% - Accent3" xfId="15" builtinId="40" customBuiltin="1"/>
    <cellStyle name="60% - Accent3 2" xfId="71"/>
    <cellStyle name="60% - Accent4" xfId="16" builtinId="44" customBuiltin="1"/>
    <cellStyle name="60% - Accent4 2" xfId="72"/>
    <cellStyle name="60% - Accent5" xfId="17" builtinId="48" customBuiltin="1"/>
    <cellStyle name="60% - Accent5 2" xfId="73"/>
    <cellStyle name="60% - Accent6" xfId="18" builtinId="52" customBuiltin="1"/>
    <cellStyle name="60% - Accent6 2" xfId="74"/>
    <cellStyle name="Accent1" xfId="19" builtinId="29" customBuiltin="1"/>
    <cellStyle name="Accent1 2" xfId="75"/>
    <cellStyle name="Accent2" xfId="20" builtinId="33" customBuiltin="1"/>
    <cellStyle name="Accent2 2" xfId="76"/>
    <cellStyle name="Accent3" xfId="21" builtinId="37" customBuiltin="1"/>
    <cellStyle name="Accent3 2" xfId="77"/>
    <cellStyle name="Accent4" xfId="22" builtinId="41" customBuiltin="1"/>
    <cellStyle name="Accent4 2" xfId="78"/>
    <cellStyle name="Accent5" xfId="23" builtinId="45" customBuiltin="1"/>
    <cellStyle name="Accent5 2" xfId="79"/>
    <cellStyle name="Accent6" xfId="24" builtinId="49" customBuiltin="1"/>
    <cellStyle name="Accent6 2" xfId="80"/>
    <cellStyle name="Bad" xfId="25" builtinId="27" customBuiltin="1"/>
    <cellStyle name="Bad 2" xfId="81"/>
    <cellStyle name="Calculation" xfId="26" builtinId="22" customBuiltin="1"/>
    <cellStyle name="Calculation 2" xfId="82"/>
    <cellStyle name="Check Cell" xfId="27" builtinId="23" customBuiltin="1"/>
    <cellStyle name="Check Cell 2" xfId="83"/>
    <cellStyle name="Comma 2" xfId="84"/>
    <cellStyle name="Comma 2 2" xfId="85"/>
    <cellStyle name="Comma 2 3" xfId="86"/>
    <cellStyle name="Comma 2 4" xfId="87"/>
    <cellStyle name="Comma 2 5" xfId="88"/>
    <cellStyle name="Comma 2 6" xfId="89"/>
    <cellStyle name="Comma 3" xfId="90"/>
    <cellStyle name="Comma 4" xfId="91"/>
    <cellStyle name="Currency 2" xfId="92"/>
    <cellStyle name="Explanatory Text" xfId="28" builtinId="53" customBuiltin="1"/>
    <cellStyle name="Explanatory Text 2" xfId="93"/>
    <cellStyle name="Good" xfId="29" builtinId="26" customBuiltin="1"/>
    <cellStyle name="Good 2" xfId="94"/>
    <cellStyle name="Hea" xfId="49"/>
    <cellStyle name="Hea 2" xfId="95"/>
    <cellStyle name="Heading 1" xfId="30" builtinId="16" customBuiltin="1"/>
    <cellStyle name="Heading 1 2" xfId="96"/>
    <cellStyle name="Heading 2" xfId="31" builtinId="17" customBuiltin="1"/>
    <cellStyle name="Heading 2 2" xfId="97"/>
    <cellStyle name="Heading 3" xfId="32" builtinId="18" customBuiltin="1"/>
    <cellStyle name="Heading 3 2" xfId="98"/>
    <cellStyle name="Heading 4" xfId="33" builtinId="19" customBuiltin="1"/>
    <cellStyle name="Heading 4 2" xfId="99"/>
    <cellStyle name="Hyperlink" xfId="157" builtinId="8"/>
    <cellStyle name="Hyperlink 2" xfId="50"/>
    <cellStyle name="Hyperlink 2 2" xfId="100"/>
    <cellStyle name="Hyperlink_Lisad 22.02.11 II" xfId="34"/>
    <cellStyle name="Input" xfId="35" builtinId="20" customBuiltin="1"/>
    <cellStyle name="Input 2" xfId="101"/>
    <cellStyle name="Linked Cell" xfId="36" builtinId="24" customBuiltin="1"/>
    <cellStyle name="Linked Cell 2" xfId="102"/>
    <cellStyle name="Neutral" xfId="37" builtinId="28" customBuiltin="1"/>
    <cellStyle name="Neutral 2" xfId="103"/>
    <cellStyle name="Normaallaad 2" xfId="153"/>
    <cellStyle name="Normaallaad 3" xfId="154"/>
    <cellStyle name="Normaallaad_Leht1" xfId="38"/>
    <cellStyle name="Normal" xfId="0" builtinId="0"/>
    <cellStyle name="Normal 10" xfId="151"/>
    <cellStyle name="Normal 11" xfId="152"/>
    <cellStyle name="Normal 12" xfId="155"/>
    <cellStyle name="Normal 13" xfId="158"/>
    <cellStyle name="Normal 14" xfId="156"/>
    <cellStyle name="Normal 2" xfId="48"/>
    <cellStyle name="Normal 2 2" xfId="54"/>
    <cellStyle name="Normal 2 3" xfId="104"/>
    <cellStyle name="Normal 2 3 2" xfId="105"/>
    <cellStyle name="Normal 2 4" xfId="106"/>
    <cellStyle name="Normal 2 4 2" xfId="107"/>
    <cellStyle name="Normal 2 5" xfId="108"/>
    <cellStyle name="Normal 2 6" xfId="109"/>
    <cellStyle name="Normal 3" xfId="55"/>
    <cellStyle name="Normal 3 10" xfId="110"/>
    <cellStyle name="Normal 3 10 2" xfId="111"/>
    <cellStyle name="Normal 3 11" xfId="112"/>
    <cellStyle name="Normal 3 11 2" xfId="113"/>
    <cellStyle name="Normal 3 12" xfId="114"/>
    <cellStyle name="Normal 3 13" xfId="115"/>
    <cellStyle name="Normal 3 2" xfId="116"/>
    <cellStyle name="Normal 3 2 2" xfId="117"/>
    <cellStyle name="Normal 3 2 3" xfId="118"/>
    <cellStyle name="Normal 3 3" xfId="119"/>
    <cellStyle name="Normal 3 3 2" xfId="120"/>
    <cellStyle name="Normal 3 4" xfId="121"/>
    <cellStyle name="Normal 3 4 2" xfId="122"/>
    <cellStyle name="Normal 3 5" xfId="123"/>
    <cellStyle name="Normal 3 5 2" xfId="124"/>
    <cellStyle name="Normal 3 6" xfId="125"/>
    <cellStyle name="Normal 3 7" xfId="126"/>
    <cellStyle name="Normal 3 8" xfId="127"/>
    <cellStyle name="Normal 3 8 2" xfId="128"/>
    <cellStyle name="Normal 3 9" xfId="129"/>
    <cellStyle name="Normal 3 9 2" xfId="130"/>
    <cellStyle name="Normal 4" xfId="131"/>
    <cellStyle name="Normal 4 2" xfId="132"/>
    <cellStyle name="Normal 5" xfId="133"/>
    <cellStyle name="Normal 5 2" xfId="134"/>
    <cellStyle name="Normal 5 2 2" xfId="135"/>
    <cellStyle name="Normal 5 3" xfId="136"/>
    <cellStyle name="Normal 6" xfId="137"/>
    <cellStyle name="Normal 7" xfId="138"/>
    <cellStyle name="Normal 7 2" xfId="139"/>
    <cellStyle name="Normal 8" xfId="140"/>
    <cellStyle name="Normal 9" xfId="141"/>
    <cellStyle name="Normal_2002 määrus lisa 5" xfId="39"/>
    <cellStyle name="Normal_2002 määrus lisa 5_Lisad 22.02.11 II" xfId="40"/>
    <cellStyle name="Normal_vorm 1 koond" xfId="41"/>
    <cellStyle name="Normal_vorm 1 koond_Lisad 22.02.11 II" xfId="42"/>
    <cellStyle name="Note" xfId="43" builtinId="10" customBuiltin="1"/>
    <cellStyle name="Note 2" xfId="142"/>
    <cellStyle name="Note 3" xfId="150"/>
    <cellStyle name="Note 4" xfId="56"/>
    <cellStyle name="Output" xfId="44" builtinId="21" customBuiltin="1"/>
    <cellStyle name="Output 2" xfId="143"/>
    <cellStyle name="Percent 2" xfId="51"/>
    <cellStyle name="Percent 3" xfId="144"/>
    <cellStyle name="Rõhk5" xfId="52"/>
    <cellStyle name="Rõhk5 2" xfId="145"/>
    <cellStyle name="Rõhk6" xfId="53"/>
    <cellStyle name="Rõhk6 2" xfId="146"/>
    <cellStyle name="Title" xfId="45" builtinId="15" customBuiltin="1"/>
    <cellStyle name="Title 2" xfId="147"/>
    <cellStyle name="Total" xfId="46" builtinId="25" customBuiltin="1"/>
    <cellStyle name="Total 2" xfId="148"/>
    <cellStyle name="Warning Text" xfId="47" builtinId="11" customBuiltin="1"/>
    <cellStyle name="Warning Text 2" xfId="1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oigusaktid.tallinn.ee/?id=3002&amp;aktid=132255&amp;fd=1&amp;leht=1&amp;q_sort=elex_akt.akt_vkp" TargetMode="External"/><Relationship Id="rId2" Type="http://schemas.openxmlformats.org/officeDocument/2006/relationships/hyperlink" Target="https://www.riigiteataja.ee/akt/419062015020" TargetMode="External"/><Relationship Id="rId1" Type="http://schemas.openxmlformats.org/officeDocument/2006/relationships/hyperlink" Target="https://www.riigiteataja.ee/akt/423122014053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8"/>
  <sheetViews>
    <sheetView tabSelected="1" workbookViewId="0">
      <selection activeCell="B1" sqref="B1"/>
    </sheetView>
  </sheetViews>
  <sheetFormatPr defaultRowHeight="12.75" x14ac:dyDescent="0.2"/>
  <cols>
    <col min="1" max="1" width="2" style="488" bestFit="1" customWidth="1"/>
    <col min="2" max="2" width="81.85546875" style="488" bestFit="1" customWidth="1"/>
    <col min="3" max="3" width="15.28515625" style="488" bestFit="1" customWidth="1"/>
    <col min="4" max="16384" width="9.140625" style="488"/>
  </cols>
  <sheetData>
    <row r="1" spans="1:3" x14ac:dyDescent="0.2">
      <c r="B1" s="490" t="s">
        <v>906</v>
      </c>
    </row>
    <row r="2" spans="1:3" x14ac:dyDescent="0.2">
      <c r="B2" s="501" t="s">
        <v>907</v>
      </c>
      <c r="C2" s="502" t="s">
        <v>908</v>
      </c>
    </row>
    <row r="3" spans="1:3" x14ac:dyDescent="0.2">
      <c r="A3" s="488">
        <v>1</v>
      </c>
      <c r="B3" s="503" t="s">
        <v>909</v>
      </c>
      <c r="C3" s="502" t="s">
        <v>674</v>
      </c>
    </row>
    <row r="4" spans="1:3" x14ac:dyDescent="0.2">
      <c r="A4" s="488">
        <v>2</v>
      </c>
      <c r="B4" s="503" t="s">
        <v>910</v>
      </c>
      <c r="C4" s="502" t="s">
        <v>672</v>
      </c>
    </row>
    <row r="5" spans="1:3" x14ac:dyDescent="0.2">
      <c r="A5" s="488">
        <v>3</v>
      </c>
      <c r="B5" s="503" t="s">
        <v>1052</v>
      </c>
      <c r="C5" s="502" t="s">
        <v>844</v>
      </c>
    </row>
    <row r="6" spans="1:3" x14ac:dyDescent="0.2">
      <c r="B6" s="493"/>
    </row>
    <row r="7" spans="1:3" x14ac:dyDescent="0.2">
      <c r="B7" s="493"/>
    </row>
    <row r="8" spans="1:3" x14ac:dyDescent="0.2">
      <c r="B8" s="493"/>
    </row>
  </sheetData>
  <hyperlinks>
    <hyperlink ref="B3" r:id="rId1"/>
    <hyperlink ref="B4" r:id="rId2"/>
    <hyperlink ref="B5" r:id="rId3"/>
  </hyperlinks>
  <pageMargins left="0.70866141732283472" right="0.70866141732283472" top="0.74803149606299213" bottom="0.74803149606299213" header="0.31496062992125984" footer="0.31496062992125984"/>
  <pageSetup paperSize="9" orientation="landscape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21"/>
  <sheetViews>
    <sheetView zoomScaleNormal="100" workbookViewId="0"/>
  </sheetViews>
  <sheetFormatPr defaultColWidth="9.140625" defaultRowHeight="12.75" x14ac:dyDescent="0.2"/>
  <cols>
    <col min="1" max="1" width="46.140625" style="59" customWidth="1"/>
    <col min="2" max="2" width="12.28515625" style="361" customWidth="1"/>
    <col min="3" max="3" width="12.28515625" style="361" hidden="1" customWidth="1"/>
    <col min="4" max="4" width="12.28515625" style="361" customWidth="1"/>
    <col min="5" max="16384" width="9.140625" style="59"/>
  </cols>
  <sheetData>
    <row r="1" spans="1:4" ht="15" x14ac:dyDescent="0.25">
      <c r="A1" s="360" t="s">
        <v>836</v>
      </c>
    </row>
    <row r="2" spans="1:4" ht="15" x14ac:dyDescent="0.25">
      <c r="A2" s="360"/>
      <c r="D2" s="318" t="s">
        <v>145</v>
      </c>
    </row>
    <row r="3" spans="1:4" x14ac:dyDescent="0.2">
      <c r="B3" s="642">
        <v>2015</v>
      </c>
      <c r="C3" s="643"/>
      <c r="D3" s="644"/>
    </row>
    <row r="4" spans="1:4" ht="25.5" x14ac:dyDescent="0.2">
      <c r="A4" s="14"/>
      <c r="B4" s="486" t="s">
        <v>674</v>
      </c>
      <c r="C4" s="483" t="s">
        <v>672</v>
      </c>
      <c r="D4" s="487" t="s">
        <v>673</v>
      </c>
    </row>
    <row r="5" spans="1:4" x14ac:dyDescent="0.2">
      <c r="A5" s="359" t="s">
        <v>837</v>
      </c>
      <c r="B5" s="362">
        <f>B6</f>
        <v>30000000</v>
      </c>
      <c r="C5" s="362"/>
      <c r="D5" s="362">
        <f>B5+C5</f>
        <v>30000000</v>
      </c>
    </row>
    <row r="6" spans="1:4" x14ac:dyDescent="0.2">
      <c r="A6" s="363" t="s">
        <v>156</v>
      </c>
      <c r="B6" s="39">
        <v>30000000</v>
      </c>
      <c r="C6" s="39"/>
      <c r="D6" s="39">
        <f t="shared" ref="D6:D14" si="0">B6+C6</f>
        <v>30000000</v>
      </c>
    </row>
    <row r="7" spans="1:4" x14ac:dyDescent="0.2">
      <c r="A7" s="14"/>
      <c r="B7" s="39"/>
      <c r="C7" s="39"/>
      <c r="D7" s="39"/>
    </row>
    <row r="8" spans="1:4" x14ac:dyDescent="0.2">
      <c r="A8" s="359" t="s">
        <v>838</v>
      </c>
      <c r="B8" s="362">
        <f>B9</f>
        <v>19664356</v>
      </c>
      <c r="C8" s="362">
        <f>C9</f>
        <v>23776176</v>
      </c>
      <c r="D8" s="362">
        <f t="shared" si="0"/>
        <v>43440532</v>
      </c>
    </row>
    <row r="9" spans="1:4" x14ac:dyDescent="0.2">
      <c r="A9" s="363" t="s">
        <v>156</v>
      </c>
      <c r="B9" s="39">
        <f>19494356+170000</f>
        <v>19664356</v>
      </c>
      <c r="C9" s="39">
        <v>23776176</v>
      </c>
      <c r="D9" s="39">
        <f t="shared" si="0"/>
        <v>43440532</v>
      </c>
    </row>
    <row r="10" spans="1:4" x14ac:dyDescent="0.2">
      <c r="A10" s="363"/>
      <c r="B10" s="39"/>
      <c r="C10" s="39"/>
      <c r="D10" s="39"/>
    </row>
    <row r="11" spans="1:4" x14ac:dyDescent="0.2">
      <c r="A11" s="359" t="s">
        <v>819</v>
      </c>
      <c r="B11" s="362">
        <f>B13</f>
        <v>1099208</v>
      </c>
      <c r="C11" s="362"/>
      <c r="D11" s="362">
        <f t="shared" si="0"/>
        <v>1099208</v>
      </c>
    </row>
    <row r="12" spans="1:4" x14ac:dyDescent="0.2">
      <c r="A12" s="364"/>
      <c r="B12" s="39"/>
      <c r="C12" s="39"/>
      <c r="D12" s="39"/>
    </row>
    <row r="13" spans="1:4" x14ac:dyDescent="0.2">
      <c r="A13" s="365" t="s">
        <v>192</v>
      </c>
      <c r="B13" s="39">
        <f>B14</f>
        <v>1099208</v>
      </c>
      <c r="C13" s="39"/>
      <c r="D13" s="39">
        <f t="shared" si="0"/>
        <v>1099208</v>
      </c>
    </row>
    <row r="14" spans="1:4" ht="25.5" x14ac:dyDescent="0.2">
      <c r="A14" s="485" t="s">
        <v>839</v>
      </c>
      <c r="B14" s="39">
        <v>1099208</v>
      </c>
      <c r="C14" s="39"/>
      <c r="D14" s="39">
        <f t="shared" si="0"/>
        <v>1099208</v>
      </c>
    </row>
    <row r="15" spans="1:4" x14ac:dyDescent="0.2">
      <c r="A15" s="366"/>
      <c r="B15" s="367"/>
      <c r="C15" s="367"/>
      <c r="D15" s="367"/>
    </row>
    <row r="16" spans="1:4" x14ac:dyDescent="0.2">
      <c r="A16" s="366"/>
      <c r="B16" s="367"/>
      <c r="C16" s="367"/>
      <c r="D16" s="367"/>
    </row>
    <row r="17" spans="1:4" x14ac:dyDescent="0.2">
      <c r="A17" s="366"/>
      <c r="B17" s="367"/>
      <c r="C17" s="367"/>
      <c r="D17" s="367"/>
    </row>
    <row r="18" spans="1:4" x14ac:dyDescent="0.2">
      <c r="A18" s="366"/>
      <c r="B18" s="367"/>
      <c r="C18" s="367"/>
      <c r="D18" s="367"/>
    </row>
    <row r="19" spans="1:4" x14ac:dyDescent="0.2">
      <c r="A19" s="366"/>
      <c r="B19" s="367"/>
      <c r="C19" s="367"/>
      <c r="D19" s="367"/>
    </row>
    <row r="20" spans="1:4" x14ac:dyDescent="0.2">
      <c r="A20" s="14"/>
    </row>
    <row r="21" spans="1:4" x14ac:dyDescent="0.2">
      <c r="A21" s="14"/>
    </row>
  </sheetData>
  <mergeCells count="1">
    <mergeCell ref="B3:D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46"/>
  <sheetViews>
    <sheetView zoomScaleNormal="100" workbookViewId="0"/>
  </sheetViews>
  <sheetFormatPr defaultColWidth="9.140625" defaultRowHeight="12.75" x14ac:dyDescent="0.2"/>
  <cols>
    <col min="1" max="1" width="48.140625" style="488" bestFit="1" customWidth="1"/>
    <col min="2" max="2" width="11.7109375" style="488" bestFit="1" customWidth="1"/>
    <col min="3" max="3" width="12.42578125" style="488" customWidth="1"/>
    <col min="4" max="4" width="11.7109375" style="488" bestFit="1" customWidth="1"/>
    <col min="5" max="16384" width="9.140625" style="488"/>
  </cols>
  <sheetData>
    <row r="1" spans="1:4" ht="15" x14ac:dyDescent="0.25">
      <c r="A1" s="628" t="s">
        <v>1053</v>
      </c>
      <c r="C1" s="629"/>
    </row>
    <row r="2" spans="1:4" ht="12.75" customHeight="1" x14ac:dyDescent="0.25">
      <c r="A2" s="489"/>
      <c r="C2" s="630" t="s">
        <v>145</v>
      </c>
    </row>
    <row r="3" spans="1:4" ht="12.75" customHeight="1" x14ac:dyDescent="0.25">
      <c r="A3" s="489"/>
      <c r="B3" s="666">
        <v>2015</v>
      </c>
      <c r="C3" s="666"/>
    </row>
    <row r="4" spans="1:4" ht="25.5" x14ac:dyDescent="0.25">
      <c r="A4" s="489"/>
      <c r="B4" s="486" t="s">
        <v>674</v>
      </c>
      <c r="C4" s="487" t="s">
        <v>673</v>
      </c>
    </row>
    <row r="5" spans="1:4" x14ac:dyDescent="0.2">
      <c r="A5" s="631" t="s">
        <v>1054</v>
      </c>
      <c r="B5" s="362">
        <v>479865833</v>
      </c>
      <c r="C5" s="632">
        <v>492128223</v>
      </c>
      <c r="D5" s="639"/>
    </row>
    <row r="6" spans="1:4" x14ac:dyDescent="0.2">
      <c r="A6" s="631" t="s">
        <v>1055</v>
      </c>
      <c r="B6" s="362">
        <v>400928696</v>
      </c>
      <c r="C6" s="632">
        <v>410250344</v>
      </c>
      <c r="D6" s="639"/>
    </row>
    <row r="7" spans="1:4" x14ac:dyDescent="0.2">
      <c r="A7" s="633" t="s">
        <v>1056</v>
      </c>
      <c r="B7" s="350">
        <v>341535130</v>
      </c>
      <c r="C7" s="634">
        <v>348271662</v>
      </c>
      <c r="D7" s="57"/>
    </row>
    <row r="8" spans="1:4" x14ac:dyDescent="0.2">
      <c r="A8" s="633" t="s">
        <v>1057</v>
      </c>
      <c r="B8" s="350">
        <v>304135130</v>
      </c>
      <c r="C8" s="634">
        <v>310416662</v>
      </c>
      <c r="D8" s="57"/>
    </row>
    <row r="9" spans="1:4" x14ac:dyDescent="0.2">
      <c r="A9" s="633" t="s">
        <v>1058</v>
      </c>
      <c r="B9" s="350">
        <v>27800000</v>
      </c>
      <c r="C9" s="634">
        <v>27800000</v>
      </c>
      <c r="D9" s="57"/>
    </row>
    <row r="10" spans="1:4" x14ac:dyDescent="0.2">
      <c r="A10" s="635" t="s">
        <v>1059</v>
      </c>
      <c r="B10" s="350">
        <v>9600000</v>
      </c>
      <c r="C10" s="634">
        <v>10055000</v>
      </c>
      <c r="D10" s="58"/>
    </row>
    <row r="11" spans="1:4" x14ac:dyDescent="0.2">
      <c r="A11" s="635" t="s">
        <v>1060</v>
      </c>
      <c r="B11" s="350">
        <v>57424616</v>
      </c>
      <c r="C11" s="634">
        <v>59718163</v>
      </c>
      <c r="D11" s="58"/>
    </row>
    <row r="12" spans="1:4" x14ac:dyDescent="0.2">
      <c r="A12" s="635" t="s">
        <v>1061</v>
      </c>
      <c r="B12" s="350">
        <v>1968950</v>
      </c>
      <c r="C12" s="634">
        <v>2260519</v>
      </c>
      <c r="D12" s="58"/>
    </row>
    <row r="13" spans="1:4" x14ac:dyDescent="0.2">
      <c r="A13" s="636" t="s">
        <v>1062</v>
      </c>
      <c r="B13" s="362">
        <v>78937137</v>
      </c>
      <c r="C13" s="632">
        <v>81877879</v>
      </c>
      <c r="D13" s="21"/>
    </row>
    <row r="14" spans="1:4" x14ac:dyDescent="0.2">
      <c r="A14" s="635" t="s">
        <v>1063</v>
      </c>
      <c r="B14" s="350">
        <v>78201965</v>
      </c>
      <c r="C14" s="634">
        <v>78720192</v>
      </c>
      <c r="D14" s="58"/>
    </row>
    <row r="15" spans="1:4" x14ac:dyDescent="0.2">
      <c r="A15" s="635" t="s">
        <v>1064</v>
      </c>
      <c r="B15" s="350">
        <v>735172</v>
      </c>
      <c r="C15" s="634">
        <v>3157687</v>
      </c>
      <c r="D15" s="58"/>
    </row>
    <row r="16" spans="1:4" x14ac:dyDescent="0.2">
      <c r="A16" s="636" t="s">
        <v>1065</v>
      </c>
      <c r="B16" s="362">
        <v>-471043078</v>
      </c>
      <c r="C16" s="632">
        <v>-479582176</v>
      </c>
      <c r="D16" s="21"/>
    </row>
    <row r="17" spans="1:4" x14ac:dyDescent="0.2">
      <c r="A17" s="635" t="s">
        <v>1066</v>
      </c>
      <c r="B17" s="350">
        <v>-466043078</v>
      </c>
      <c r="C17" s="634">
        <v>-475478107</v>
      </c>
      <c r="D17" s="58"/>
    </row>
    <row r="18" spans="1:4" x14ac:dyDescent="0.2">
      <c r="A18" s="635" t="s">
        <v>1067</v>
      </c>
      <c r="B18" s="350">
        <v>-5000000</v>
      </c>
      <c r="C18" s="634">
        <v>-4104069</v>
      </c>
      <c r="D18" s="58"/>
    </row>
    <row r="19" spans="1:4" x14ac:dyDescent="0.2">
      <c r="A19" s="636" t="s">
        <v>1068</v>
      </c>
      <c r="B19" s="362">
        <v>8822755</v>
      </c>
      <c r="C19" s="632">
        <v>12546047</v>
      </c>
      <c r="D19" s="21"/>
    </row>
    <row r="20" spans="1:4" x14ac:dyDescent="0.2">
      <c r="A20" s="635"/>
      <c r="B20" s="59"/>
      <c r="C20" s="637"/>
      <c r="D20" s="58"/>
    </row>
    <row r="21" spans="1:4" x14ac:dyDescent="0.2">
      <c r="A21" s="631" t="s">
        <v>1069</v>
      </c>
      <c r="B21" s="362">
        <v>12506400</v>
      </c>
      <c r="C21" s="632">
        <v>17327619</v>
      </c>
      <c r="D21" s="639"/>
    </row>
    <row r="22" spans="1:4" x14ac:dyDescent="0.2">
      <c r="A22" s="638" t="s">
        <v>1070</v>
      </c>
      <c r="B22" s="350">
        <v>2174000</v>
      </c>
      <c r="C22" s="634">
        <v>5349402</v>
      </c>
      <c r="D22" s="640"/>
    </row>
    <row r="23" spans="1:4" x14ac:dyDescent="0.2">
      <c r="A23" s="638" t="s">
        <v>1071</v>
      </c>
      <c r="B23" s="350">
        <v>3432400</v>
      </c>
      <c r="C23" s="634">
        <v>3432400</v>
      </c>
      <c r="D23" s="640"/>
    </row>
    <row r="24" spans="1:4" x14ac:dyDescent="0.2">
      <c r="A24" s="638" t="s">
        <v>1072</v>
      </c>
      <c r="B24" s="350">
        <v>6850000</v>
      </c>
      <c r="C24" s="634">
        <v>8495817</v>
      </c>
      <c r="D24" s="640"/>
    </row>
    <row r="25" spans="1:4" x14ac:dyDescent="0.2">
      <c r="A25" s="638" t="s">
        <v>1073</v>
      </c>
      <c r="B25" s="350">
        <v>50000</v>
      </c>
      <c r="C25" s="634">
        <v>50000</v>
      </c>
      <c r="D25" s="640"/>
    </row>
    <row r="26" spans="1:4" x14ac:dyDescent="0.2">
      <c r="A26" s="636" t="s">
        <v>1074</v>
      </c>
      <c r="B26" s="362">
        <v>-35408166</v>
      </c>
      <c r="C26" s="632">
        <v>-49996702</v>
      </c>
      <c r="D26" s="21"/>
    </row>
    <row r="27" spans="1:4" x14ac:dyDescent="0.2">
      <c r="A27" s="638" t="s">
        <v>1075</v>
      </c>
      <c r="B27" s="350">
        <v>-35408166</v>
      </c>
      <c r="C27" s="634">
        <v>-49296702</v>
      </c>
      <c r="D27" s="640"/>
    </row>
    <row r="28" spans="1:4" x14ac:dyDescent="0.2">
      <c r="A28" s="638" t="s">
        <v>1076</v>
      </c>
      <c r="B28" s="350"/>
      <c r="C28" s="634">
        <v>-700000</v>
      </c>
      <c r="D28" s="640"/>
    </row>
    <row r="29" spans="1:4" x14ac:dyDescent="0.2">
      <c r="A29" s="636" t="s">
        <v>1077</v>
      </c>
      <c r="B29" s="362">
        <v>-22901766</v>
      </c>
      <c r="C29" s="632">
        <v>-32669083</v>
      </c>
      <c r="D29" s="21"/>
    </row>
    <row r="30" spans="1:4" x14ac:dyDescent="0.2">
      <c r="A30" s="633"/>
      <c r="B30" s="59"/>
      <c r="C30" s="637"/>
      <c r="D30" s="57"/>
    </row>
    <row r="31" spans="1:4" x14ac:dyDescent="0.2">
      <c r="A31" s="631" t="s">
        <v>1078</v>
      </c>
      <c r="B31" s="362">
        <v>30000000</v>
      </c>
      <c r="C31" s="632">
        <v>30000000</v>
      </c>
      <c r="D31" s="639"/>
    </row>
    <row r="32" spans="1:4" x14ac:dyDescent="0.2">
      <c r="A32" s="633" t="s">
        <v>1079</v>
      </c>
      <c r="B32" s="350">
        <v>30000000</v>
      </c>
      <c r="C32" s="634">
        <v>30000000</v>
      </c>
      <c r="D32" s="57"/>
    </row>
    <row r="33" spans="1:4" x14ac:dyDescent="0.2">
      <c r="A33" s="636" t="s">
        <v>1080</v>
      </c>
      <c r="B33" s="362">
        <v>-20763564</v>
      </c>
      <c r="C33" s="632">
        <v>-44539740</v>
      </c>
      <c r="D33" s="21"/>
    </row>
    <row r="34" spans="1:4" x14ac:dyDescent="0.2">
      <c r="A34" s="638" t="s">
        <v>1081</v>
      </c>
      <c r="B34" s="350">
        <v>-19664356</v>
      </c>
      <c r="C34" s="634">
        <v>-43440532</v>
      </c>
      <c r="D34" s="641"/>
    </row>
    <row r="35" spans="1:4" x14ac:dyDescent="0.2">
      <c r="A35" s="635" t="s">
        <v>1082</v>
      </c>
      <c r="B35" s="350">
        <v>-1099208</v>
      </c>
      <c r="C35" s="634">
        <v>-1099208</v>
      </c>
      <c r="D35" s="58"/>
    </row>
    <row r="36" spans="1:4" x14ac:dyDescent="0.2">
      <c r="A36" s="636" t="s">
        <v>1083</v>
      </c>
      <c r="B36" s="362">
        <v>9236436</v>
      </c>
      <c r="C36" s="632">
        <v>-14539740</v>
      </c>
      <c r="D36" s="21"/>
    </row>
    <row r="37" spans="1:4" x14ac:dyDescent="0.2">
      <c r="A37" s="633"/>
      <c r="B37" s="59"/>
      <c r="C37" s="637"/>
      <c r="D37" s="57"/>
    </row>
    <row r="38" spans="1:4" x14ac:dyDescent="0.2">
      <c r="A38" s="631" t="s">
        <v>1084</v>
      </c>
      <c r="B38" s="362">
        <v>522372233</v>
      </c>
      <c r="C38" s="632">
        <v>539455842</v>
      </c>
      <c r="D38" s="639"/>
    </row>
    <row r="39" spans="1:4" x14ac:dyDescent="0.2">
      <c r="A39" s="631" t="s">
        <v>1085</v>
      </c>
      <c r="B39" s="362">
        <v>-527214808</v>
      </c>
      <c r="C39" s="632">
        <v>-574118618</v>
      </c>
      <c r="D39" s="639"/>
    </row>
    <row r="40" spans="1:4" x14ac:dyDescent="0.2">
      <c r="A40" s="631" t="s">
        <v>1086</v>
      </c>
      <c r="B40" s="362">
        <v>-4842575</v>
      </c>
      <c r="C40" s="632">
        <v>-34662776</v>
      </c>
      <c r="D40" s="639"/>
    </row>
    <row r="41" spans="1:4" x14ac:dyDescent="0.2">
      <c r="A41" s="494"/>
      <c r="C41" s="632"/>
    </row>
    <row r="42" spans="1:4" x14ac:dyDescent="0.2">
      <c r="A42" s="494"/>
      <c r="C42" s="632"/>
    </row>
    <row r="43" spans="1:4" x14ac:dyDescent="0.2">
      <c r="A43" s="494"/>
      <c r="C43" s="632"/>
    </row>
    <row r="44" spans="1:4" x14ac:dyDescent="0.2">
      <c r="A44" s="494"/>
      <c r="C44" s="632"/>
    </row>
    <row r="45" spans="1:4" x14ac:dyDescent="0.2">
      <c r="A45" s="493"/>
    </row>
    <row r="46" spans="1:4" x14ac:dyDescent="0.2">
      <c r="A46" s="493"/>
    </row>
  </sheetData>
  <mergeCells count="1">
    <mergeCell ref="B3:C3"/>
  </mergeCells>
  <pageMargins left="1.1811023622047245" right="0.47244094488188981" top="0.47244094488188981" bottom="0.98425196850393704" header="0.51181102362204722" footer="0.51181102362204722"/>
  <pageSetup paperSize="9" orientation="portrait" r:id="rId1"/>
  <headerFooter alignWithMargins="0"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46"/>
  <sheetViews>
    <sheetView showZeros="0" zoomScaleNormal="100" workbookViewId="0"/>
  </sheetViews>
  <sheetFormatPr defaultRowHeight="12.75" x14ac:dyDescent="0.2"/>
  <cols>
    <col min="1" max="1" width="35.42578125" style="488" customWidth="1"/>
    <col min="2" max="2" width="11.140625" style="488" bestFit="1" customWidth="1"/>
    <col min="3" max="3" width="10.7109375" style="488" hidden="1" customWidth="1"/>
    <col min="4" max="4" width="11.42578125" style="488" hidden="1" customWidth="1"/>
    <col min="5" max="5" width="11.85546875" style="488" customWidth="1"/>
    <col min="6" max="16384" width="9.140625" style="488"/>
  </cols>
  <sheetData>
    <row r="1" spans="1:5" ht="15" x14ac:dyDescent="0.2">
      <c r="A1" s="497" t="s">
        <v>876</v>
      </c>
    </row>
    <row r="2" spans="1:5" ht="15" x14ac:dyDescent="0.2">
      <c r="A2" s="496"/>
      <c r="E2" s="318" t="s">
        <v>145</v>
      </c>
    </row>
    <row r="3" spans="1:5" ht="15" x14ac:dyDescent="0.25">
      <c r="A3" s="489"/>
      <c r="B3" s="642">
        <v>2015</v>
      </c>
      <c r="C3" s="643"/>
      <c r="D3" s="643"/>
      <c r="E3" s="644"/>
    </row>
    <row r="4" spans="1:5" ht="27.75" customHeight="1" x14ac:dyDescent="0.25">
      <c r="A4" s="489"/>
      <c r="B4" s="486" t="s">
        <v>674</v>
      </c>
      <c r="C4" s="483" t="s">
        <v>672</v>
      </c>
      <c r="D4" s="483" t="s">
        <v>844</v>
      </c>
      <c r="E4" s="487" t="s">
        <v>673</v>
      </c>
    </row>
    <row r="5" spans="1:5" ht="15" x14ac:dyDescent="0.25">
      <c r="A5" s="489"/>
    </row>
    <row r="6" spans="1:5" x14ac:dyDescent="0.2">
      <c r="A6" s="490" t="s">
        <v>877</v>
      </c>
      <c r="B6" s="18">
        <v>474990936</v>
      </c>
      <c r="C6" s="18">
        <v>8030481</v>
      </c>
      <c r="D6" s="18">
        <v>3862200</v>
      </c>
      <c r="E6" s="18">
        <f>SUM(B6:D6)</f>
        <v>486883617</v>
      </c>
    </row>
    <row r="7" spans="1:5" x14ac:dyDescent="0.2">
      <c r="B7" s="404"/>
      <c r="C7" s="404"/>
      <c r="D7" s="6"/>
      <c r="E7" s="404">
        <f t="shared" ref="E7:E40" si="0">SUM(B7:D7)</f>
        <v>0</v>
      </c>
    </row>
    <row r="8" spans="1:5" x14ac:dyDescent="0.2">
      <c r="A8" s="488" t="s">
        <v>878</v>
      </c>
      <c r="B8" s="403">
        <v>341535130</v>
      </c>
      <c r="C8" s="403">
        <v>4315000</v>
      </c>
      <c r="D8" s="62">
        <v>2421532</v>
      </c>
      <c r="E8" s="403">
        <f t="shared" si="0"/>
        <v>348271662</v>
      </c>
    </row>
    <row r="9" spans="1:5" x14ac:dyDescent="0.2">
      <c r="A9" s="488" t="s">
        <v>879</v>
      </c>
      <c r="B9" s="403">
        <v>56942416</v>
      </c>
      <c r="C9" s="403">
        <v>886436</v>
      </c>
      <c r="D9" s="62">
        <v>1432111</v>
      </c>
      <c r="E9" s="403">
        <f t="shared" si="0"/>
        <v>59260963</v>
      </c>
    </row>
    <row r="10" spans="1:5" x14ac:dyDescent="0.2">
      <c r="A10" s="488" t="s">
        <v>880</v>
      </c>
      <c r="B10" s="403">
        <v>75232240</v>
      </c>
      <c r="C10" s="403">
        <v>2660295</v>
      </c>
      <c r="D10" s="62">
        <v>-62</v>
      </c>
      <c r="E10" s="403">
        <f t="shared" si="0"/>
        <v>77892473</v>
      </c>
    </row>
    <row r="11" spans="1:5" x14ac:dyDescent="0.2">
      <c r="A11" s="488" t="s">
        <v>881</v>
      </c>
      <c r="B11" s="403">
        <v>1281150</v>
      </c>
      <c r="C11" s="403">
        <v>168750</v>
      </c>
      <c r="D11" s="62">
        <v>8619</v>
      </c>
      <c r="E11" s="403">
        <f t="shared" si="0"/>
        <v>1458519</v>
      </c>
    </row>
    <row r="12" spans="1:5" x14ac:dyDescent="0.2">
      <c r="A12" s="491"/>
      <c r="B12" s="404"/>
      <c r="C12" s="404"/>
      <c r="D12" s="6"/>
      <c r="E12" s="404">
        <f t="shared" si="0"/>
        <v>0</v>
      </c>
    </row>
    <row r="13" spans="1:5" x14ac:dyDescent="0.2">
      <c r="A13" s="492" t="s">
        <v>882</v>
      </c>
      <c r="B13" s="18">
        <v>442643720</v>
      </c>
      <c r="C13" s="18">
        <v>2900625</v>
      </c>
      <c r="D13" s="18">
        <v>2542157</v>
      </c>
      <c r="E13" s="18">
        <f t="shared" si="0"/>
        <v>448086502</v>
      </c>
    </row>
    <row r="14" spans="1:5" x14ac:dyDescent="0.2">
      <c r="A14" s="491"/>
      <c r="B14" s="404"/>
      <c r="C14" s="404"/>
      <c r="D14" s="6"/>
      <c r="E14" s="404">
        <f t="shared" si="0"/>
        <v>0</v>
      </c>
    </row>
    <row r="15" spans="1:5" x14ac:dyDescent="0.2">
      <c r="A15" s="491" t="s">
        <v>883</v>
      </c>
      <c r="B15" s="350">
        <v>88636913</v>
      </c>
      <c r="C15" s="350">
        <v>1146782</v>
      </c>
      <c r="D15" s="39">
        <v>-366165</v>
      </c>
      <c r="E15" s="350">
        <f t="shared" si="0"/>
        <v>89417530</v>
      </c>
    </row>
    <row r="16" spans="1:5" x14ac:dyDescent="0.2">
      <c r="A16" s="491" t="s">
        <v>884</v>
      </c>
      <c r="B16" s="62">
        <v>349239387</v>
      </c>
      <c r="C16" s="62">
        <v>2056830</v>
      </c>
      <c r="D16" s="62">
        <v>3191292</v>
      </c>
      <c r="E16" s="62">
        <f t="shared" si="0"/>
        <v>354487509</v>
      </c>
    </row>
    <row r="17" spans="1:5" x14ac:dyDescent="0.2">
      <c r="A17" s="491" t="s">
        <v>885</v>
      </c>
      <c r="B17" s="403">
        <v>4767420</v>
      </c>
      <c r="C17" s="403">
        <v>-302987</v>
      </c>
      <c r="D17" s="62">
        <v>-282970</v>
      </c>
      <c r="E17" s="403">
        <f t="shared" si="0"/>
        <v>4181463</v>
      </c>
    </row>
    <row r="18" spans="1:5" x14ac:dyDescent="0.2">
      <c r="A18" s="491"/>
      <c r="B18" s="404"/>
      <c r="C18" s="404"/>
      <c r="D18" s="6"/>
      <c r="E18" s="404">
        <f t="shared" si="0"/>
        <v>0</v>
      </c>
    </row>
    <row r="19" spans="1:5" x14ac:dyDescent="0.2">
      <c r="A19" s="491" t="s">
        <v>886</v>
      </c>
      <c r="B19" s="62">
        <v>32347216</v>
      </c>
      <c r="C19" s="62">
        <v>5129856</v>
      </c>
      <c r="D19" s="62">
        <v>1320043</v>
      </c>
      <c r="E19" s="62">
        <f t="shared" si="0"/>
        <v>38797115</v>
      </c>
    </row>
    <row r="20" spans="1:5" x14ac:dyDescent="0.2">
      <c r="A20" s="491"/>
      <c r="B20" s="404"/>
      <c r="C20" s="404"/>
      <c r="D20" s="6"/>
      <c r="E20" s="404">
        <f t="shared" si="0"/>
        <v>0</v>
      </c>
    </row>
    <row r="21" spans="1:5" x14ac:dyDescent="0.2">
      <c r="A21" s="490" t="s">
        <v>887</v>
      </c>
      <c r="B21" s="18">
        <v>-44138627</v>
      </c>
      <c r="C21" s="18">
        <v>-9260702</v>
      </c>
      <c r="D21" s="18">
        <v>-826263</v>
      </c>
      <c r="E21" s="18">
        <f t="shared" si="0"/>
        <v>-54225592</v>
      </c>
    </row>
    <row r="22" spans="1:5" x14ac:dyDescent="0.2">
      <c r="B22" s="404"/>
      <c r="C22" s="404"/>
      <c r="D22" s="6"/>
      <c r="E22" s="404">
        <f t="shared" si="0"/>
        <v>0</v>
      </c>
    </row>
    <row r="23" spans="1:5" x14ac:dyDescent="0.2">
      <c r="A23" s="488" t="s">
        <v>888</v>
      </c>
      <c r="B23" s="403">
        <v>2174000</v>
      </c>
      <c r="C23" s="403">
        <v>2500000</v>
      </c>
      <c r="D23" s="62">
        <v>664602</v>
      </c>
      <c r="E23" s="403">
        <f t="shared" si="0"/>
        <v>5338602</v>
      </c>
    </row>
    <row r="24" spans="1:5" x14ac:dyDescent="0.2">
      <c r="A24" s="493" t="s">
        <v>889</v>
      </c>
      <c r="B24" s="62">
        <v>42885467</v>
      </c>
      <c r="C24" s="62">
        <v>9366502</v>
      </c>
      <c r="D24" s="62">
        <v>204769</v>
      </c>
      <c r="E24" s="62">
        <f t="shared" si="0"/>
        <v>52456738</v>
      </c>
    </row>
    <row r="25" spans="1:5" x14ac:dyDescent="0.2">
      <c r="A25" s="488" t="s">
        <v>890</v>
      </c>
      <c r="B25" s="403">
        <v>3704897</v>
      </c>
      <c r="C25" s="403">
        <v>-1647193</v>
      </c>
      <c r="D25" s="62">
        <v>93776</v>
      </c>
      <c r="E25" s="403">
        <f t="shared" si="0"/>
        <v>2151480</v>
      </c>
    </row>
    <row r="26" spans="1:5" x14ac:dyDescent="0.2">
      <c r="A26" s="493" t="s">
        <v>891</v>
      </c>
      <c r="B26" s="62">
        <v>4805952</v>
      </c>
      <c r="C26" s="62">
        <v>3198755</v>
      </c>
      <c r="D26" s="62">
        <v>769872</v>
      </c>
      <c r="E26" s="62">
        <f t="shared" si="0"/>
        <v>8774579</v>
      </c>
    </row>
    <row r="27" spans="1:5" x14ac:dyDescent="0.2">
      <c r="B27" s="495"/>
      <c r="C27" s="495"/>
      <c r="D27" s="62"/>
      <c r="E27" s="495">
        <f t="shared" si="0"/>
        <v>0</v>
      </c>
    </row>
    <row r="28" spans="1:5" x14ac:dyDescent="0.2">
      <c r="A28" s="6" t="s">
        <v>900</v>
      </c>
      <c r="B28" s="495"/>
      <c r="C28" s="495"/>
      <c r="D28" s="62">
        <v>700000</v>
      </c>
      <c r="E28" s="495"/>
    </row>
    <row r="29" spans="1:5" x14ac:dyDescent="0.2">
      <c r="A29" s="488" t="s">
        <v>892</v>
      </c>
      <c r="B29" s="403">
        <v>6900000</v>
      </c>
      <c r="C29" s="403">
        <v>1645817</v>
      </c>
      <c r="D29" s="62">
        <v>0</v>
      </c>
      <c r="E29" s="403">
        <f t="shared" si="0"/>
        <v>8545817</v>
      </c>
    </row>
    <row r="30" spans="1:5" x14ac:dyDescent="0.2">
      <c r="A30" s="488" t="s">
        <v>893</v>
      </c>
      <c r="B30" s="403">
        <v>9226105</v>
      </c>
      <c r="C30" s="403">
        <v>-805931</v>
      </c>
      <c r="D30" s="62">
        <v>-90000</v>
      </c>
      <c r="E30" s="403">
        <f t="shared" si="0"/>
        <v>8330174</v>
      </c>
    </row>
    <row r="31" spans="1:5" x14ac:dyDescent="0.2">
      <c r="B31" s="404"/>
      <c r="C31" s="404"/>
      <c r="D31" s="6"/>
      <c r="E31" s="404">
        <f t="shared" si="0"/>
        <v>0</v>
      </c>
    </row>
    <row r="32" spans="1:5" x14ac:dyDescent="0.2">
      <c r="A32" s="488" t="s">
        <v>894</v>
      </c>
      <c r="B32" s="403">
        <v>-11791411</v>
      </c>
      <c r="C32" s="403">
        <v>-4130846</v>
      </c>
      <c r="D32" s="62">
        <v>493780</v>
      </c>
      <c r="E32" s="403">
        <f t="shared" si="0"/>
        <v>-15428477</v>
      </c>
    </row>
    <row r="33" spans="1:5" x14ac:dyDescent="0.2">
      <c r="B33" s="404"/>
      <c r="C33" s="404"/>
      <c r="D33" s="6"/>
      <c r="E33" s="404">
        <f t="shared" si="0"/>
        <v>0</v>
      </c>
    </row>
    <row r="34" spans="1:5" x14ac:dyDescent="0.2">
      <c r="A34" s="490" t="s">
        <v>895</v>
      </c>
      <c r="B34" s="18">
        <v>9236436</v>
      </c>
      <c r="C34" s="18">
        <v>-23776176</v>
      </c>
      <c r="D34" s="18">
        <v>0</v>
      </c>
      <c r="E34" s="18">
        <f t="shared" si="0"/>
        <v>-14539740</v>
      </c>
    </row>
    <row r="35" spans="1:5" x14ac:dyDescent="0.2">
      <c r="B35" s="404"/>
      <c r="C35" s="404"/>
      <c r="D35" s="6"/>
      <c r="E35" s="404">
        <f t="shared" si="0"/>
        <v>0</v>
      </c>
    </row>
    <row r="36" spans="1:5" x14ac:dyDescent="0.2">
      <c r="A36" s="488" t="s">
        <v>896</v>
      </c>
      <c r="B36" s="403">
        <v>30000000</v>
      </c>
      <c r="C36" s="403">
        <v>0</v>
      </c>
      <c r="D36" s="62">
        <v>0</v>
      </c>
      <c r="E36" s="403">
        <f t="shared" si="0"/>
        <v>30000000</v>
      </c>
    </row>
    <row r="37" spans="1:5" x14ac:dyDescent="0.2">
      <c r="A37" s="488" t="s">
        <v>897</v>
      </c>
      <c r="B37" s="403">
        <v>20763564</v>
      </c>
      <c r="C37" s="403">
        <v>-23776176</v>
      </c>
      <c r="D37" s="62">
        <v>0</v>
      </c>
      <c r="E37" s="403">
        <f t="shared" si="0"/>
        <v>-3012612</v>
      </c>
    </row>
    <row r="38" spans="1:5" x14ac:dyDescent="0.2">
      <c r="B38" s="404"/>
      <c r="C38" s="404"/>
      <c r="D38" s="6"/>
      <c r="E38" s="404">
        <f t="shared" si="0"/>
        <v>0</v>
      </c>
    </row>
    <row r="39" spans="1:5" x14ac:dyDescent="0.2">
      <c r="A39" s="490" t="s">
        <v>898</v>
      </c>
      <c r="B39" s="18">
        <v>-4842575</v>
      </c>
      <c r="C39" s="18">
        <v>-30313981</v>
      </c>
      <c r="D39" s="18">
        <v>493780</v>
      </c>
      <c r="E39" s="18">
        <f t="shared" si="0"/>
        <v>-34662776</v>
      </c>
    </row>
    <row r="40" spans="1:5" x14ac:dyDescent="0.2">
      <c r="A40" s="490" t="s">
        <v>899</v>
      </c>
      <c r="B40" s="18">
        <v>-2287600</v>
      </c>
      <c r="C40" s="18">
        <v>-2406959</v>
      </c>
      <c r="D40" s="18">
        <v>0</v>
      </c>
      <c r="E40" s="18">
        <f t="shared" si="0"/>
        <v>-4694559</v>
      </c>
    </row>
    <row r="41" spans="1:5" x14ac:dyDescent="0.2">
      <c r="A41" s="493"/>
    </row>
    <row r="42" spans="1:5" x14ac:dyDescent="0.2">
      <c r="A42" s="494"/>
    </row>
    <row r="43" spans="1:5" x14ac:dyDescent="0.2">
      <c r="A43" s="494"/>
    </row>
    <row r="44" spans="1:5" x14ac:dyDescent="0.2">
      <c r="A44" s="494"/>
    </row>
    <row r="45" spans="1:5" x14ac:dyDescent="0.2">
      <c r="A45" s="493"/>
    </row>
    <row r="46" spans="1:5" x14ac:dyDescent="0.2">
      <c r="A46" s="493"/>
    </row>
  </sheetData>
  <mergeCells count="1">
    <mergeCell ref="B3:E3"/>
  </mergeCells>
  <pageMargins left="1.1811023622047245" right="0.47244094488188981" top="0.47244094488188981" bottom="0.98425196850393704" header="0.51181102362204722" footer="0.51181102362204722"/>
  <pageSetup paperSize="9" scale="90" orientation="portrait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59"/>
  <sheetViews>
    <sheetView topLeftCell="A35" zoomScaleNormal="100" workbookViewId="0">
      <selection activeCell="A8" sqref="A8:D71"/>
    </sheetView>
  </sheetViews>
  <sheetFormatPr defaultColWidth="9.140625" defaultRowHeight="12.75" x14ac:dyDescent="0.2"/>
  <cols>
    <col min="1" max="1" width="40.42578125" style="313" customWidth="1"/>
    <col min="2" max="3" width="12.28515625" style="313" customWidth="1"/>
    <col min="4" max="4" width="10.85546875" style="313" customWidth="1"/>
    <col min="5" max="5" width="11.7109375" style="313" bestFit="1" customWidth="1"/>
    <col min="6" max="6" width="10.140625" style="313" bestFit="1" customWidth="1"/>
    <col min="7" max="16384" width="9.140625" style="313"/>
  </cols>
  <sheetData>
    <row r="1" spans="1:5" ht="15" x14ac:dyDescent="0.25">
      <c r="A1" s="316" t="s">
        <v>785</v>
      </c>
    </row>
    <row r="2" spans="1:5" x14ac:dyDescent="0.2">
      <c r="A2" s="317"/>
      <c r="B2" s="318"/>
      <c r="C2" s="318"/>
    </row>
    <row r="3" spans="1:5" x14ac:dyDescent="0.2">
      <c r="A3" s="319"/>
      <c r="B3" s="318"/>
      <c r="C3" s="318"/>
      <c r="D3" s="318"/>
      <c r="E3" s="318" t="s">
        <v>145</v>
      </c>
    </row>
    <row r="4" spans="1:5" ht="12.75" customHeight="1" x14ac:dyDescent="0.2">
      <c r="A4" s="319"/>
      <c r="B4" s="642">
        <v>2015</v>
      </c>
      <c r="C4" s="643"/>
      <c r="D4" s="643"/>
      <c r="E4" s="644"/>
    </row>
    <row r="5" spans="1:5" ht="38.25" customHeight="1" x14ac:dyDescent="0.2">
      <c r="A5" s="3"/>
      <c r="B5" s="486" t="s">
        <v>674</v>
      </c>
      <c r="C5" s="483" t="s">
        <v>672</v>
      </c>
      <c r="D5" s="483" t="s">
        <v>844</v>
      </c>
      <c r="E5" s="487" t="s">
        <v>673</v>
      </c>
    </row>
    <row r="6" spans="1:5" x14ac:dyDescent="0.2">
      <c r="A6" s="3" t="s">
        <v>786</v>
      </c>
      <c r="B6" s="59"/>
      <c r="C6" s="59"/>
      <c r="D6" s="59"/>
      <c r="E6" s="59"/>
    </row>
    <row r="7" spans="1:5" x14ac:dyDescent="0.2">
      <c r="A7" s="20"/>
      <c r="B7" s="59"/>
      <c r="C7" s="59"/>
      <c r="D7" s="59"/>
      <c r="E7" s="59"/>
    </row>
    <row r="8" spans="1:5" x14ac:dyDescent="0.2">
      <c r="A8" s="459" t="s">
        <v>787</v>
      </c>
      <c r="B8" s="460">
        <v>486886776</v>
      </c>
      <c r="C8" s="460">
        <v>10057951</v>
      </c>
      <c r="D8" s="461">
        <v>4620578</v>
      </c>
      <c r="E8" s="461">
        <f>SUM(B8:D8)</f>
        <v>501565305</v>
      </c>
    </row>
    <row r="9" spans="1:5" x14ac:dyDescent="0.2">
      <c r="A9" s="462" t="s">
        <v>146</v>
      </c>
      <c r="B9" s="375">
        <v>331935130</v>
      </c>
      <c r="C9" s="375">
        <v>4075000</v>
      </c>
      <c r="D9" s="13">
        <v>2206532</v>
      </c>
      <c r="E9" s="13">
        <f t="shared" ref="E9:E71" si="0">SUM(B9:D9)</f>
        <v>338216662</v>
      </c>
    </row>
    <row r="10" spans="1:5" x14ac:dyDescent="0.2">
      <c r="A10" s="462" t="s">
        <v>147</v>
      </c>
      <c r="B10" s="375">
        <v>9600000</v>
      </c>
      <c r="C10" s="375">
        <v>240000</v>
      </c>
      <c r="D10" s="13">
        <v>215000</v>
      </c>
      <c r="E10" s="13">
        <f t="shared" si="0"/>
        <v>10055000</v>
      </c>
    </row>
    <row r="11" spans="1:5" x14ac:dyDescent="0.2">
      <c r="A11" s="462" t="s">
        <v>148</v>
      </c>
      <c r="B11" s="375">
        <v>517800</v>
      </c>
      <c r="C11" s="375">
        <v>10000</v>
      </c>
      <c r="D11" s="13">
        <v>15000</v>
      </c>
      <c r="E11" s="13">
        <f t="shared" si="0"/>
        <v>542800</v>
      </c>
    </row>
    <row r="12" spans="1:5" x14ac:dyDescent="0.2">
      <c r="A12" s="462" t="s">
        <v>788</v>
      </c>
      <c r="B12" s="375">
        <v>56424616</v>
      </c>
      <c r="C12" s="375">
        <v>876436</v>
      </c>
      <c r="D12" s="13">
        <v>1417111</v>
      </c>
      <c r="E12" s="13">
        <f t="shared" si="0"/>
        <v>58718163</v>
      </c>
    </row>
    <row r="13" spans="1:5" x14ac:dyDescent="0.2">
      <c r="A13" s="462" t="s">
        <v>149</v>
      </c>
      <c r="B13" s="375">
        <v>1074000</v>
      </c>
      <c r="C13" s="375">
        <v>160750</v>
      </c>
      <c r="D13" s="13">
        <v>87273</v>
      </c>
      <c r="E13" s="13">
        <f t="shared" si="0"/>
        <v>1322023</v>
      </c>
    </row>
    <row r="14" spans="1:5" x14ac:dyDescent="0.2">
      <c r="A14" s="462" t="s">
        <v>150</v>
      </c>
      <c r="B14" s="375">
        <v>50000</v>
      </c>
      <c r="C14" s="375"/>
      <c r="D14" s="13"/>
      <c r="E14" s="13">
        <f t="shared" si="0"/>
        <v>50000</v>
      </c>
    </row>
    <row r="15" spans="1:5" x14ac:dyDescent="0.2">
      <c r="A15" s="462" t="s">
        <v>789</v>
      </c>
      <c r="B15" s="375">
        <v>2184000</v>
      </c>
      <c r="C15" s="375">
        <v>2508000</v>
      </c>
      <c r="D15" s="13">
        <v>667402</v>
      </c>
      <c r="E15" s="13">
        <f t="shared" si="0"/>
        <v>5359402</v>
      </c>
    </row>
    <row r="16" spans="1:5" x14ac:dyDescent="0.2">
      <c r="A16" s="462" t="s">
        <v>790</v>
      </c>
      <c r="B16" s="375">
        <v>-883057</v>
      </c>
      <c r="C16" s="375">
        <v>-471154</v>
      </c>
      <c r="D16" s="13"/>
      <c r="E16" s="13">
        <f t="shared" si="0"/>
        <v>-1354211</v>
      </c>
    </row>
    <row r="17" spans="1:6" x14ac:dyDescent="0.2">
      <c r="A17" s="462" t="s">
        <v>151</v>
      </c>
      <c r="B17" s="375">
        <v>-10000</v>
      </c>
      <c r="C17" s="375"/>
      <c r="D17" s="13"/>
      <c r="E17" s="13">
        <f t="shared" si="0"/>
        <v>-10000</v>
      </c>
    </row>
    <row r="18" spans="1:6" x14ac:dyDescent="0.2">
      <c r="A18" s="462" t="s">
        <v>152</v>
      </c>
      <c r="B18" s="375">
        <v>207150</v>
      </c>
      <c r="C18" s="375"/>
      <c r="D18" s="13">
        <v>-81454</v>
      </c>
      <c r="E18" s="13">
        <f t="shared" si="0"/>
        <v>125696</v>
      </c>
    </row>
    <row r="19" spans="1:6" x14ac:dyDescent="0.2">
      <c r="A19" s="462" t="s">
        <v>153</v>
      </c>
      <c r="B19" s="375">
        <v>6850000</v>
      </c>
      <c r="C19" s="375">
        <v>1645817</v>
      </c>
      <c r="D19" s="13"/>
      <c r="E19" s="13">
        <f t="shared" si="0"/>
        <v>8495817</v>
      </c>
    </row>
    <row r="20" spans="1:6" ht="25.5" x14ac:dyDescent="0.2">
      <c r="A20" s="463" t="s">
        <v>154</v>
      </c>
      <c r="B20" s="375">
        <v>78201965</v>
      </c>
      <c r="C20" s="375">
        <v>439451</v>
      </c>
      <c r="D20" s="13">
        <v>78776</v>
      </c>
      <c r="E20" s="13">
        <f t="shared" si="0"/>
        <v>78720192</v>
      </c>
    </row>
    <row r="21" spans="1:6" x14ac:dyDescent="0.2">
      <c r="A21" s="462" t="s">
        <v>791</v>
      </c>
      <c r="B21" s="375">
        <v>609865</v>
      </c>
      <c r="C21" s="375">
        <v>573651</v>
      </c>
      <c r="D21" s="13">
        <v>14938</v>
      </c>
      <c r="E21" s="13">
        <f t="shared" si="0"/>
        <v>1198454</v>
      </c>
    </row>
    <row r="22" spans="1:6" x14ac:dyDescent="0.2">
      <c r="A22" s="462" t="s">
        <v>589</v>
      </c>
      <c r="B22" s="375">
        <v>125307</v>
      </c>
      <c r="C22" s="375"/>
      <c r="D22" s="13"/>
      <c r="E22" s="13">
        <f t="shared" si="0"/>
        <v>125307</v>
      </c>
    </row>
    <row r="23" spans="1:6" x14ac:dyDescent="0.2">
      <c r="A23" s="6"/>
      <c r="B23" s="11"/>
      <c r="C23" s="11"/>
      <c r="D23" s="62"/>
      <c r="E23" s="62"/>
    </row>
    <row r="24" spans="1:6" x14ac:dyDescent="0.2">
      <c r="A24" s="459" t="s">
        <v>792</v>
      </c>
      <c r="B24" s="460">
        <v>464169078</v>
      </c>
      <c r="C24" s="460">
        <v>6311493</v>
      </c>
      <c r="D24" s="461">
        <v>3004960</v>
      </c>
      <c r="E24" s="461">
        <f t="shared" si="0"/>
        <v>473485531</v>
      </c>
    </row>
    <row r="25" spans="1:6" x14ac:dyDescent="0.2">
      <c r="A25" s="462" t="s">
        <v>793</v>
      </c>
      <c r="B25" s="375">
        <v>450515084</v>
      </c>
      <c r="C25" s="375">
        <v>1025624</v>
      </c>
      <c r="D25" s="13">
        <v>2129629</v>
      </c>
      <c r="E25" s="13">
        <f t="shared" si="0"/>
        <v>453670337</v>
      </c>
    </row>
    <row r="26" spans="1:6" x14ac:dyDescent="0.2">
      <c r="A26" s="464" t="s">
        <v>794</v>
      </c>
      <c r="B26" s="375">
        <v>74000000</v>
      </c>
      <c r="C26" s="375"/>
      <c r="D26" s="13"/>
      <c r="E26" s="13">
        <f t="shared" si="0"/>
        <v>74000000</v>
      </c>
    </row>
    <row r="27" spans="1:6" x14ac:dyDescent="0.2">
      <c r="A27" s="322" t="s">
        <v>795</v>
      </c>
      <c r="B27" s="375">
        <v>142675</v>
      </c>
      <c r="C27" s="375">
        <v>47892</v>
      </c>
      <c r="D27" s="13">
        <v>14938</v>
      </c>
      <c r="E27" s="13">
        <f t="shared" si="0"/>
        <v>205505</v>
      </c>
    </row>
    <row r="28" spans="1:6" x14ac:dyDescent="0.2">
      <c r="A28" s="322" t="s">
        <v>796</v>
      </c>
      <c r="B28" s="375">
        <v>376372409</v>
      </c>
      <c r="C28" s="375">
        <v>977732</v>
      </c>
      <c r="D28" s="13">
        <v>2114691</v>
      </c>
      <c r="E28" s="13">
        <f t="shared" si="0"/>
        <v>379464832</v>
      </c>
    </row>
    <row r="29" spans="1:6" x14ac:dyDescent="0.2">
      <c r="A29" s="462" t="s">
        <v>797</v>
      </c>
      <c r="B29" s="375">
        <v>13653994</v>
      </c>
      <c r="C29" s="375">
        <v>5285869</v>
      </c>
      <c r="D29" s="13">
        <v>875331</v>
      </c>
      <c r="E29" s="13">
        <f t="shared" si="0"/>
        <v>19815194</v>
      </c>
      <c r="F29" s="314"/>
    </row>
    <row r="30" spans="1:6" x14ac:dyDescent="0.2">
      <c r="A30" s="462"/>
      <c r="B30" s="11"/>
      <c r="C30" s="11"/>
      <c r="D30" s="62"/>
      <c r="E30" s="62"/>
      <c r="F30" s="314"/>
    </row>
    <row r="31" spans="1:6" x14ac:dyDescent="0.2">
      <c r="A31" s="465" t="s">
        <v>798</v>
      </c>
      <c r="B31" s="466">
        <v>22717698</v>
      </c>
      <c r="C31" s="466">
        <v>3746458</v>
      </c>
      <c r="D31" s="467">
        <v>1615618</v>
      </c>
      <c r="E31" s="467">
        <f t="shared" si="0"/>
        <v>28079774</v>
      </c>
    </row>
    <row r="32" spans="1:6" x14ac:dyDescent="0.2">
      <c r="A32" s="468"/>
      <c r="B32" s="241"/>
      <c r="C32" s="241"/>
      <c r="D32" s="7"/>
      <c r="E32" s="7"/>
    </row>
    <row r="33" spans="1:5" x14ac:dyDescent="0.2">
      <c r="A33" s="469" t="s">
        <v>799</v>
      </c>
      <c r="B33" s="375">
        <v>63529831</v>
      </c>
      <c r="C33" s="375">
        <v>2353373</v>
      </c>
      <c r="D33" s="13">
        <v>1397989</v>
      </c>
      <c r="E33" s="13">
        <f t="shared" si="0"/>
        <v>67281193</v>
      </c>
    </row>
    <row r="34" spans="1:5" x14ac:dyDescent="0.2">
      <c r="A34" s="6"/>
      <c r="B34" s="11"/>
      <c r="C34" s="11"/>
      <c r="D34" s="62"/>
      <c r="E34" s="62"/>
    </row>
    <row r="35" spans="1:5" x14ac:dyDescent="0.2">
      <c r="A35" s="465" t="s">
        <v>800</v>
      </c>
      <c r="B35" s="466">
        <v>-40812133</v>
      </c>
      <c r="C35" s="466">
        <v>1393085</v>
      </c>
      <c r="D35" s="467">
        <v>217629</v>
      </c>
      <c r="E35" s="467">
        <f t="shared" si="0"/>
        <v>-39201419</v>
      </c>
    </row>
    <row r="36" spans="1:5" ht="16.5" thickBot="1" x14ac:dyDescent="0.3">
      <c r="A36" s="470"/>
      <c r="B36" s="471"/>
      <c r="C36" s="471"/>
      <c r="D36" s="472"/>
      <c r="E36" s="472"/>
    </row>
    <row r="37" spans="1:5" ht="16.5" thickTop="1" x14ac:dyDescent="0.25">
      <c r="A37" s="473"/>
      <c r="B37" s="474"/>
      <c r="C37" s="474"/>
      <c r="D37" s="475"/>
      <c r="E37" s="475"/>
    </row>
    <row r="38" spans="1:5" ht="15.75" x14ac:dyDescent="0.25">
      <c r="A38" s="476" t="s">
        <v>801</v>
      </c>
      <c r="B38" s="474"/>
      <c r="C38" s="474"/>
      <c r="D38" s="475"/>
      <c r="E38" s="475"/>
    </row>
    <row r="39" spans="1:5" x14ac:dyDescent="0.2">
      <c r="A39" s="462"/>
      <c r="B39" s="375"/>
      <c r="C39" s="375"/>
      <c r="D39" s="13"/>
      <c r="E39" s="13"/>
    </row>
    <row r="40" spans="1:5" x14ac:dyDescent="0.2">
      <c r="A40" s="477" t="s">
        <v>802</v>
      </c>
      <c r="B40" s="375"/>
      <c r="C40" s="375"/>
      <c r="D40" s="13"/>
      <c r="E40" s="13"/>
    </row>
    <row r="41" spans="1:5" x14ac:dyDescent="0.2">
      <c r="A41" s="462" t="s">
        <v>803</v>
      </c>
      <c r="B41" s="375">
        <v>35392166</v>
      </c>
      <c r="C41" s="375">
        <v>8348458</v>
      </c>
      <c r="D41" s="13">
        <v>421838</v>
      </c>
      <c r="E41" s="13">
        <f t="shared" si="0"/>
        <v>44162462</v>
      </c>
    </row>
    <row r="42" spans="1:5" x14ac:dyDescent="0.2">
      <c r="A42" s="462" t="s">
        <v>799</v>
      </c>
      <c r="B42" s="375">
        <v>-63529831</v>
      </c>
      <c r="C42" s="375">
        <v>-2353373</v>
      </c>
      <c r="D42" s="13">
        <v>-1397989</v>
      </c>
      <c r="E42" s="13">
        <f t="shared" si="0"/>
        <v>-67281193</v>
      </c>
    </row>
    <row r="43" spans="1:5" x14ac:dyDescent="0.2">
      <c r="A43" s="462" t="s">
        <v>804</v>
      </c>
      <c r="B43" s="375">
        <v>-883057</v>
      </c>
      <c r="C43" s="375">
        <v>-471154</v>
      </c>
      <c r="D43" s="13"/>
      <c r="E43" s="13">
        <f t="shared" si="0"/>
        <v>-1354211</v>
      </c>
    </row>
    <row r="44" spans="1:5" x14ac:dyDescent="0.2">
      <c r="A44" s="478" t="s">
        <v>805</v>
      </c>
      <c r="B44" s="460">
        <v>-29020722</v>
      </c>
      <c r="C44" s="460">
        <v>5523931</v>
      </c>
      <c r="D44" s="461">
        <v>-976151</v>
      </c>
      <c r="E44" s="461">
        <f t="shared" si="0"/>
        <v>-24472942</v>
      </c>
    </row>
    <row r="45" spans="1:5" x14ac:dyDescent="0.2">
      <c r="A45" s="462"/>
      <c r="B45" s="375"/>
      <c r="C45" s="375"/>
      <c r="D45" s="13"/>
      <c r="E45" s="13"/>
    </row>
    <row r="46" spans="1:5" x14ac:dyDescent="0.2">
      <c r="A46" s="477" t="s">
        <v>808</v>
      </c>
      <c r="B46" s="375"/>
      <c r="C46" s="375"/>
      <c r="D46" s="13"/>
      <c r="E46" s="13"/>
    </row>
    <row r="47" spans="1:5" x14ac:dyDescent="0.2">
      <c r="A47" s="462" t="s">
        <v>809</v>
      </c>
      <c r="B47" s="375">
        <v>-4842575</v>
      </c>
      <c r="C47" s="375">
        <v>-30313981</v>
      </c>
      <c r="D47" s="13">
        <v>493780</v>
      </c>
      <c r="E47" s="13">
        <f t="shared" si="0"/>
        <v>-34662776</v>
      </c>
    </row>
    <row r="48" spans="1:5" hidden="1" x14ac:dyDescent="0.2">
      <c r="A48" s="479" t="s">
        <v>810</v>
      </c>
      <c r="B48" s="480">
        <v>-8000000</v>
      </c>
      <c r="C48" s="480">
        <v>-27156556</v>
      </c>
      <c r="D48" s="481">
        <v>493780</v>
      </c>
      <c r="E48" s="13">
        <f t="shared" si="0"/>
        <v>-34662776</v>
      </c>
    </row>
    <row r="49" spans="1:5" hidden="1" x14ac:dyDescent="0.2">
      <c r="A49" s="479" t="s">
        <v>811</v>
      </c>
      <c r="B49" s="480">
        <v>3157425</v>
      </c>
      <c r="C49" s="480">
        <v>-3157425</v>
      </c>
      <c r="D49" s="481"/>
      <c r="E49" s="13"/>
    </row>
    <row r="50" spans="1:5" x14ac:dyDescent="0.2">
      <c r="A50" s="462"/>
      <c r="B50" s="375"/>
      <c r="C50" s="375"/>
      <c r="D50" s="13"/>
      <c r="E50" s="13"/>
    </row>
    <row r="51" spans="1:5" x14ac:dyDescent="0.2">
      <c r="A51" s="477" t="s">
        <v>806</v>
      </c>
      <c r="B51" s="375"/>
      <c r="C51" s="375"/>
      <c r="D51" s="13"/>
      <c r="E51" s="13"/>
    </row>
    <row r="52" spans="1:5" x14ac:dyDescent="0.2">
      <c r="A52" s="462" t="s">
        <v>807</v>
      </c>
      <c r="B52" s="375"/>
      <c r="C52" s="375"/>
      <c r="D52" s="13">
        <v>700000</v>
      </c>
      <c r="E52" s="13">
        <f t="shared" si="0"/>
        <v>700000</v>
      </c>
    </row>
    <row r="53" spans="1:5" x14ac:dyDescent="0.2">
      <c r="A53" s="462"/>
      <c r="B53" s="375"/>
      <c r="C53" s="375"/>
      <c r="D53" s="13"/>
      <c r="E53" s="13"/>
    </row>
    <row r="54" spans="1:5" x14ac:dyDescent="0.2">
      <c r="A54" s="478" t="s">
        <v>812</v>
      </c>
      <c r="B54" s="460">
        <v>-4842575</v>
      </c>
      <c r="C54" s="460">
        <v>-30313981</v>
      </c>
      <c r="D54" s="461">
        <v>1193780</v>
      </c>
      <c r="E54" s="461">
        <f t="shared" si="0"/>
        <v>-33962776</v>
      </c>
    </row>
    <row r="55" spans="1:5" x14ac:dyDescent="0.2">
      <c r="A55" s="478"/>
      <c r="B55" s="460"/>
      <c r="C55" s="460"/>
      <c r="D55" s="461"/>
      <c r="E55" s="461"/>
    </row>
    <row r="56" spans="1:5" x14ac:dyDescent="0.2">
      <c r="A56" s="478" t="s">
        <v>813</v>
      </c>
      <c r="B56" s="460">
        <v>-3432400</v>
      </c>
      <c r="C56" s="460">
        <v>3166074</v>
      </c>
      <c r="D56" s="461"/>
      <c r="E56" s="461">
        <f t="shared" si="0"/>
        <v>-266326</v>
      </c>
    </row>
    <row r="57" spans="1:5" hidden="1" x14ac:dyDescent="0.2">
      <c r="A57" s="462" t="s">
        <v>815</v>
      </c>
      <c r="B57" s="375"/>
      <c r="C57" s="375">
        <v>-1833926</v>
      </c>
      <c r="D57" s="461"/>
      <c r="E57" s="13">
        <f t="shared" si="0"/>
        <v>-1833926</v>
      </c>
    </row>
    <row r="58" spans="1:5" hidden="1" x14ac:dyDescent="0.2">
      <c r="A58" s="462" t="s">
        <v>814</v>
      </c>
      <c r="B58" s="375"/>
      <c r="C58" s="375">
        <v>5000000</v>
      </c>
      <c r="D58" s="461"/>
      <c r="E58" s="13">
        <f t="shared" si="0"/>
        <v>5000000</v>
      </c>
    </row>
    <row r="59" spans="1:5" x14ac:dyDescent="0.2">
      <c r="A59" s="477"/>
      <c r="B59" s="375"/>
      <c r="C59" s="375"/>
      <c r="D59" s="13"/>
      <c r="E59" s="13"/>
    </row>
    <row r="60" spans="1:5" x14ac:dyDescent="0.2">
      <c r="A60" s="478" t="s">
        <v>816</v>
      </c>
      <c r="B60" s="460">
        <v>9236436</v>
      </c>
      <c r="C60" s="460">
        <v>-23776176</v>
      </c>
      <c r="D60" s="461">
        <v>0</v>
      </c>
      <c r="E60" s="461">
        <f t="shared" si="0"/>
        <v>-14539740</v>
      </c>
    </row>
    <row r="61" spans="1:5" x14ac:dyDescent="0.2">
      <c r="A61" s="462" t="s">
        <v>817</v>
      </c>
      <c r="B61" s="375">
        <v>30000000</v>
      </c>
      <c r="C61" s="375"/>
      <c r="D61" s="13"/>
      <c r="E61" s="13">
        <f t="shared" si="0"/>
        <v>30000000</v>
      </c>
    </row>
    <row r="62" spans="1:5" x14ac:dyDescent="0.2">
      <c r="A62" s="462" t="s">
        <v>818</v>
      </c>
      <c r="B62" s="375">
        <v>19664356</v>
      </c>
      <c r="C62" s="375">
        <v>-23776176</v>
      </c>
      <c r="D62" s="13"/>
      <c r="E62" s="13">
        <f t="shared" si="0"/>
        <v>-4111820</v>
      </c>
    </row>
    <row r="63" spans="1:5" x14ac:dyDescent="0.2">
      <c r="A63" s="482" t="s">
        <v>819</v>
      </c>
      <c r="B63" s="375">
        <v>1099208</v>
      </c>
      <c r="C63" s="375"/>
      <c r="D63" s="13"/>
      <c r="E63" s="13">
        <f t="shared" si="0"/>
        <v>1099208</v>
      </c>
    </row>
    <row r="64" spans="1:5" x14ac:dyDescent="0.2">
      <c r="A64" s="478"/>
      <c r="B64" s="460"/>
      <c r="C64" s="460"/>
      <c r="D64" s="461"/>
      <c r="E64" s="461"/>
    </row>
    <row r="65" spans="1:5" x14ac:dyDescent="0.2">
      <c r="A65" s="478" t="s">
        <v>155</v>
      </c>
      <c r="B65" s="460">
        <v>-5720000</v>
      </c>
      <c r="C65" s="460">
        <v>759115</v>
      </c>
      <c r="D65" s="461"/>
      <c r="E65" s="461">
        <f t="shared" si="0"/>
        <v>-4960885</v>
      </c>
    </row>
    <row r="66" spans="1:5" x14ac:dyDescent="0.2">
      <c r="A66" s="478"/>
      <c r="B66" s="460"/>
      <c r="C66" s="460"/>
      <c r="D66" s="461"/>
      <c r="E66" s="461"/>
    </row>
    <row r="67" spans="1:5" x14ac:dyDescent="0.2">
      <c r="A67" s="478" t="s">
        <v>820</v>
      </c>
      <c r="B67" s="460">
        <v>-40812133</v>
      </c>
      <c r="C67" s="460">
        <v>1393085</v>
      </c>
      <c r="D67" s="461">
        <v>217629</v>
      </c>
      <c r="E67" s="461">
        <f t="shared" si="0"/>
        <v>-39201419</v>
      </c>
    </row>
    <row r="68" spans="1:5" x14ac:dyDescent="0.2">
      <c r="A68" s="478"/>
      <c r="B68" s="460"/>
      <c r="C68" s="460"/>
      <c r="D68" s="461"/>
      <c r="E68" s="461"/>
    </row>
    <row r="69" spans="1:5" x14ac:dyDescent="0.2">
      <c r="A69" s="478"/>
      <c r="B69" s="460"/>
      <c r="C69" s="460"/>
      <c r="D69" s="461"/>
      <c r="E69" s="461"/>
    </row>
    <row r="70" spans="1:5" x14ac:dyDescent="0.2">
      <c r="A70" s="6" t="s">
        <v>821</v>
      </c>
      <c r="B70" s="11">
        <v>529202233</v>
      </c>
      <c r="C70" s="11">
        <v>34519587</v>
      </c>
      <c r="D70" s="62">
        <v>4126798</v>
      </c>
      <c r="E70" s="62">
        <f t="shared" si="0"/>
        <v>567848618</v>
      </c>
    </row>
    <row r="71" spans="1:5" x14ac:dyDescent="0.2">
      <c r="A71" s="14" t="s">
        <v>822</v>
      </c>
      <c r="B71" s="11">
        <v>529202233</v>
      </c>
      <c r="C71" s="11">
        <v>34519587</v>
      </c>
      <c r="D71" s="62">
        <v>4126798</v>
      </c>
      <c r="E71" s="62">
        <f t="shared" si="0"/>
        <v>567848618</v>
      </c>
    </row>
    <row r="72" spans="1:5" x14ac:dyDescent="0.2">
      <c r="A72" s="315"/>
      <c r="B72" s="321"/>
      <c r="C72" s="321"/>
      <c r="D72" s="314"/>
    </row>
    <row r="73" spans="1:5" x14ac:dyDescent="0.2">
      <c r="A73" s="324"/>
      <c r="B73" s="325"/>
      <c r="C73" s="325"/>
      <c r="D73" s="314"/>
    </row>
    <row r="74" spans="1:5" x14ac:dyDescent="0.2">
      <c r="A74" s="324"/>
      <c r="B74" s="326"/>
      <c r="C74" s="326"/>
    </row>
    <row r="75" spans="1:5" x14ac:dyDescent="0.2">
      <c r="A75" s="324"/>
      <c r="B75" s="326"/>
      <c r="C75" s="326"/>
    </row>
    <row r="76" spans="1:5" ht="14.25" x14ac:dyDescent="0.2">
      <c r="A76" s="327"/>
      <c r="B76" s="326"/>
      <c r="C76" s="326"/>
    </row>
    <row r="77" spans="1:5" x14ac:dyDescent="0.2">
      <c r="A77" s="315"/>
      <c r="B77" s="328"/>
      <c r="C77" s="328"/>
    </row>
    <row r="78" spans="1:5" x14ac:dyDescent="0.2">
      <c r="A78" s="315"/>
      <c r="B78" s="326"/>
      <c r="C78" s="326"/>
    </row>
    <row r="79" spans="1:5" x14ac:dyDescent="0.2">
      <c r="A79" s="315"/>
      <c r="B79" s="328"/>
      <c r="C79" s="328"/>
    </row>
    <row r="80" spans="1:5" x14ac:dyDescent="0.2">
      <c r="A80" s="315"/>
      <c r="B80" s="329"/>
      <c r="C80" s="329"/>
    </row>
    <row r="81" spans="1:3" x14ac:dyDescent="0.2">
      <c r="A81" s="330"/>
      <c r="B81" s="331"/>
      <c r="C81" s="331"/>
    </row>
    <row r="82" spans="1:3" x14ac:dyDescent="0.2">
      <c r="A82" s="315"/>
      <c r="B82" s="332"/>
      <c r="C82" s="332"/>
    </row>
    <row r="83" spans="1:3" x14ac:dyDescent="0.2">
      <c r="A83" s="333"/>
      <c r="B83" s="328"/>
      <c r="C83" s="328"/>
    </row>
    <row r="84" spans="1:3" x14ac:dyDescent="0.2">
      <c r="A84" s="333"/>
      <c r="B84" s="328"/>
      <c r="C84" s="328"/>
    </row>
    <row r="85" spans="1:3" x14ac:dyDescent="0.2">
      <c r="A85" s="333"/>
      <c r="B85" s="328"/>
      <c r="C85" s="328"/>
    </row>
    <row r="86" spans="1:3" x14ac:dyDescent="0.2">
      <c r="A86" s="333"/>
      <c r="B86" s="328"/>
      <c r="C86" s="328"/>
    </row>
    <row r="87" spans="1:3" x14ac:dyDescent="0.2">
      <c r="A87" s="333"/>
      <c r="B87" s="328"/>
      <c r="C87" s="328"/>
    </row>
    <row r="88" spans="1:3" x14ac:dyDescent="0.2">
      <c r="A88" s="333"/>
      <c r="B88" s="328"/>
      <c r="C88" s="328"/>
    </row>
    <row r="89" spans="1:3" x14ac:dyDescent="0.2">
      <c r="A89" s="333"/>
      <c r="B89" s="328"/>
      <c r="C89" s="328"/>
    </row>
    <row r="90" spans="1:3" x14ac:dyDescent="0.2">
      <c r="A90" s="333"/>
      <c r="B90" s="328"/>
      <c r="C90" s="328"/>
    </row>
    <row r="91" spans="1:3" x14ac:dyDescent="0.2">
      <c r="A91" s="333"/>
      <c r="B91" s="328"/>
      <c r="C91" s="328"/>
    </row>
    <row r="92" spans="1:3" x14ac:dyDescent="0.2">
      <c r="A92" s="333"/>
      <c r="B92" s="328"/>
      <c r="C92" s="328"/>
    </row>
    <row r="93" spans="1:3" x14ac:dyDescent="0.2">
      <c r="A93" s="333"/>
      <c r="B93" s="328"/>
      <c r="C93" s="328"/>
    </row>
    <row r="94" spans="1:3" x14ac:dyDescent="0.2">
      <c r="A94" s="333"/>
      <c r="B94" s="328"/>
      <c r="C94" s="328"/>
    </row>
    <row r="95" spans="1:3" x14ac:dyDescent="0.2">
      <c r="A95" s="333"/>
      <c r="B95" s="328"/>
      <c r="C95" s="328"/>
    </row>
    <row r="96" spans="1:3" x14ac:dyDescent="0.2">
      <c r="A96" s="333"/>
      <c r="B96" s="328"/>
      <c r="C96" s="328"/>
    </row>
    <row r="97" spans="1:3" x14ac:dyDescent="0.2">
      <c r="A97" s="333"/>
      <c r="B97" s="328"/>
      <c r="C97" s="328"/>
    </row>
    <row r="98" spans="1:3" x14ac:dyDescent="0.2">
      <c r="A98" s="333"/>
      <c r="B98" s="328"/>
      <c r="C98" s="328"/>
    </row>
    <row r="99" spans="1:3" x14ac:dyDescent="0.2">
      <c r="A99" s="333"/>
      <c r="B99" s="328"/>
      <c r="C99" s="328"/>
    </row>
    <row r="100" spans="1:3" x14ac:dyDescent="0.2">
      <c r="A100" s="333"/>
      <c r="B100" s="328"/>
      <c r="C100" s="328"/>
    </row>
    <row r="101" spans="1:3" x14ac:dyDescent="0.2">
      <c r="A101" s="333"/>
      <c r="B101" s="328"/>
      <c r="C101" s="328"/>
    </row>
    <row r="102" spans="1:3" x14ac:dyDescent="0.2">
      <c r="A102" s="333"/>
      <c r="B102" s="328"/>
      <c r="C102" s="328"/>
    </row>
    <row r="103" spans="1:3" x14ac:dyDescent="0.2">
      <c r="A103" s="333"/>
      <c r="B103" s="328"/>
      <c r="C103" s="328"/>
    </row>
    <row r="104" spans="1:3" x14ac:dyDescent="0.2">
      <c r="A104" s="333"/>
      <c r="B104" s="328"/>
      <c r="C104" s="328"/>
    </row>
    <row r="105" spans="1:3" x14ac:dyDescent="0.2">
      <c r="A105" s="315"/>
      <c r="B105" s="329"/>
      <c r="C105" s="329"/>
    </row>
    <row r="106" spans="1:3" x14ac:dyDescent="0.2">
      <c r="A106" s="330"/>
      <c r="B106" s="331"/>
      <c r="C106" s="331"/>
    </row>
    <row r="107" spans="1:3" x14ac:dyDescent="0.2">
      <c r="A107" s="333"/>
      <c r="B107" s="334"/>
      <c r="C107" s="334"/>
    </row>
    <row r="108" spans="1:3" x14ac:dyDescent="0.2">
      <c r="A108" s="333"/>
      <c r="B108" s="334"/>
      <c r="C108" s="334"/>
    </row>
    <row r="109" spans="1:3" x14ac:dyDescent="0.2">
      <c r="A109" s="333"/>
      <c r="B109" s="334"/>
      <c r="C109" s="334"/>
    </row>
    <row r="110" spans="1:3" x14ac:dyDescent="0.2">
      <c r="A110" s="333"/>
      <c r="B110" s="334"/>
      <c r="C110" s="334"/>
    </row>
    <row r="111" spans="1:3" x14ac:dyDescent="0.2">
      <c r="A111" s="333"/>
      <c r="B111" s="334"/>
      <c r="C111" s="334"/>
    </row>
    <row r="112" spans="1:3" x14ac:dyDescent="0.2">
      <c r="A112" s="333"/>
      <c r="B112" s="334"/>
      <c r="C112" s="334"/>
    </row>
    <row r="113" spans="1:1" x14ac:dyDescent="0.2">
      <c r="A113" s="333"/>
    </row>
    <row r="114" spans="1:1" x14ac:dyDescent="0.2">
      <c r="A114" s="333"/>
    </row>
    <row r="115" spans="1:1" x14ac:dyDescent="0.2">
      <c r="A115" s="333"/>
    </row>
    <row r="116" spans="1:1" x14ac:dyDescent="0.2">
      <c r="A116" s="315"/>
    </row>
    <row r="117" spans="1:1" x14ac:dyDescent="0.2">
      <c r="A117" s="315"/>
    </row>
    <row r="118" spans="1:1" x14ac:dyDescent="0.2">
      <c r="A118" s="330"/>
    </row>
    <row r="119" spans="1:1" x14ac:dyDescent="0.2">
      <c r="A119" s="333"/>
    </row>
    <row r="120" spans="1:1" x14ac:dyDescent="0.2">
      <c r="A120" s="333"/>
    </row>
    <row r="121" spans="1:1" x14ac:dyDescent="0.2">
      <c r="A121" s="333"/>
    </row>
    <row r="122" spans="1:1" x14ac:dyDescent="0.2">
      <c r="A122" s="333"/>
    </row>
    <row r="123" spans="1:1" x14ac:dyDescent="0.2">
      <c r="A123" s="315"/>
    </row>
    <row r="124" spans="1:1" x14ac:dyDescent="0.2">
      <c r="A124" s="335"/>
    </row>
    <row r="125" spans="1:1" x14ac:dyDescent="0.2">
      <c r="A125" s="333"/>
    </row>
    <row r="126" spans="1:1" x14ac:dyDescent="0.2">
      <c r="A126" s="333"/>
    </row>
    <row r="127" spans="1:1" x14ac:dyDescent="0.2">
      <c r="A127" s="315"/>
    </row>
    <row r="128" spans="1:1" x14ac:dyDescent="0.2">
      <c r="A128" s="330"/>
    </row>
    <row r="129" spans="1:1" x14ac:dyDescent="0.2">
      <c r="A129" s="333"/>
    </row>
    <row r="130" spans="1:1" x14ac:dyDescent="0.2">
      <c r="A130" s="333"/>
    </row>
    <row r="131" spans="1:1" x14ac:dyDescent="0.2">
      <c r="A131" s="333"/>
    </row>
    <row r="132" spans="1:1" x14ac:dyDescent="0.2">
      <c r="A132" s="333"/>
    </row>
    <row r="133" spans="1:1" x14ac:dyDescent="0.2">
      <c r="A133" s="315"/>
    </row>
    <row r="134" spans="1:1" x14ac:dyDescent="0.2">
      <c r="A134" s="336"/>
    </row>
    <row r="135" spans="1:1" x14ac:dyDescent="0.2">
      <c r="A135" s="315"/>
    </row>
    <row r="136" spans="1:1" x14ac:dyDescent="0.2">
      <c r="A136" s="330"/>
    </row>
    <row r="137" spans="1:1" x14ac:dyDescent="0.2">
      <c r="A137" s="333"/>
    </row>
    <row r="138" spans="1:1" x14ac:dyDescent="0.2">
      <c r="A138" s="333"/>
    </row>
    <row r="139" spans="1:1" x14ac:dyDescent="0.2">
      <c r="A139" s="333"/>
    </row>
    <row r="140" spans="1:1" x14ac:dyDescent="0.2">
      <c r="A140" s="333"/>
    </row>
    <row r="141" spans="1:1" x14ac:dyDescent="0.2">
      <c r="A141" s="333"/>
    </row>
    <row r="142" spans="1:1" x14ac:dyDescent="0.2">
      <c r="A142" s="333"/>
    </row>
    <row r="143" spans="1:1" x14ac:dyDescent="0.2">
      <c r="A143" s="333"/>
    </row>
    <row r="144" spans="1:1" x14ac:dyDescent="0.2">
      <c r="A144" s="333"/>
    </row>
    <row r="147" spans="1:1" x14ac:dyDescent="0.2">
      <c r="A147" s="315"/>
    </row>
    <row r="148" spans="1:1" x14ac:dyDescent="0.2">
      <c r="A148" s="330"/>
    </row>
    <row r="149" spans="1:1" x14ac:dyDescent="0.2">
      <c r="A149" s="333"/>
    </row>
    <row r="150" spans="1:1" x14ac:dyDescent="0.2">
      <c r="A150" s="333"/>
    </row>
    <row r="153" spans="1:1" x14ac:dyDescent="0.2">
      <c r="A153" s="330"/>
    </row>
    <row r="159" spans="1:1" x14ac:dyDescent="0.2">
      <c r="A159" s="330"/>
    </row>
  </sheetData>
  <mergeCells count="1">
    <mergeCell ref="B4:E4"/>
  </mergeCells>
  <printOptions gridLines="1"/>
  <pageMargins left="1.1811023622047245" right="0.47244094488188981" top="0.78740157480314965" bottom="0.98425196850393704" header="0.51181102362204722" footer="0.51181102362204722"/>
  <pageSetup paperSize="9" scale="75" orientation="portrait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52"/>
  <sheetViews>
    <sheetView showZeros="0" zoomScaleNormal="100" workbookViewId="0"/>
  </sheetViews>
  <sheetFormatPr defaultColWidth="9.140625" defaultRowHeight="12.75" x14ac:dyDescent="0.2"/>
  <cols>
    <col min="1" max="1" width="36" style="313" customWidth="1"/>
    <col min="2" max="2" width="11.42578125" style="313" customWidth="1"/>
    <col min="3" max="4" width="11.42578125" style="313" hidden="1" customWidth="1"/>
    <col min="5" max="5" width="11.42578125" style="313" customWidth="1"/>
    <col min="6" max="16384" width="9.140625" style="313"/>
  </cols>
  <sheetData>
    <row r="1" spans="1:5" ht="15" x14ac:dyDescent="0.25">
      <c r="A1" s="337" t="s">
        <v>823</v>
      </c>
      <c r="B1" s="337"/>
      <c r="C1" s="337"/>
      <c r="D1" s="337"/>
      <c r="E1" s="337"/>
    </row>
    <row r="2" spans="1:5" x14ac:dyDescent="0.2">
      <c r="A2" s="317"/>
      <c r="B2" s="317"/>
      <c r="C2" s="317"/>
      <c r="D2" s="317"/>
      <c r="E2" s="318" t="s">
        <v>145</v>
      </c>
    </row>
    <row r="3" spans="1:5" x14ac:dyDescent="0.2">
      <c r="B3" s="642">
        <v>2015</v>
      </c>
      <c r="C3" s="643"/>
      <c r="D3" s="643"/>
      <c r="E3" s="644"/>
    </row>
    <row r="4" spans="1:5" ht="25.5" x14ac:dyDescent="0.2">
      <c r="A4" s="338" t="s">
        <v>824</v>
      </c>
      <c r="B4" s="486" t="s">
        <v>674</v>
      </c>
      <c r="C4" s="483" t="s">
        <v>672</v>
      </c>
      <c r="D4" s="483" t="s">
        <v>844</v>
      </c>
      <c r="E4" s="487" t="s">
        <v>673</v>
      </c>
    </row>
    <row r="5" spans="1:5" ht="7.5" customHeight="1" x14ac:dyDescent="0.2">
      <c r="A5" s="320"/>
      <c r="B5" s="320"/>
      <c r="C5" s="320"/>
      <c r="D5" s="320"/>
      <c r="E5" s="320"/>
    </row>
    <row r="6" spans="1:5" x14ac:dyDescent="0.2">
      <c r="A6" s="339" t="s">
        <v>826</v>
      </c>
      <c r="B6" s="323">
        <v>341535130</v>
      </c>
      <c r="C6" s="323">
        <v>4315000</v>
      </c>
      <c r="D6" s="323">
        <v>2421532</v>
      </c>
      <c r="E6" s="323">
        <f>SUM(B6:D6)</f>
        <v>348271662</v>
      </c>
    </row>
    <row r="7" spans="1:5" x14ac:dyDescent="0.2">
      <c r="A7" s="320"/>
      <c r="B7" s="340"/>
      <c r="C7" s="340">
        <v>0</v>
      </c>
      <c r="D7" s="340">
        <v>0</v>
      </c>
      <c r="E7" s="340">
        <f t="shared" ref="E7:E51" si="0">SUM(B7:D7)</f>
        <v>0</v>
      </c>
    </row>
    <row r="8" spans="1:5" x14ac:dyDescent="0.2">
      <c r="A8" s="341" t="s">
        <v>146</v>
      </c>
      <c r="B8" s="323">
        <v>331935130</v>
      </c>
      <c r="C8" s="323">
        <v>4075000</v>
      </c>
      <c r="D8" s="323">
        <v>2206532</v>
      </c>
      <c r="E8" s="323">
        <f t="shared" si="0"/>
        <v>338216662</v>
      </c>
    </row>
    <row r="9" spans="1:5" x14ac:dyDescent="0.2">
      <c r="A9" s="342" t="s">
        <v>157</v>
      </c>
      <c r="B9" s="314">
        <v>304135130</v>
      </c>
      <c r="C9" s="314">
        <v>4075000</v>
      </c>
      <c r="D9" s="314">
        <v>2206532</v>
      </c>
      <c r="E9" s="314">
        <f t="shared" si="0"/>
        <v>310416662</v>
      </c>
    </row>
    <row r="10" spans="1:5" x14ac:dyDescent="0.2">
      <c r="A10" s="342" t="s">
        <v>158</v>
      </c>
      <c r="B10" s="314">
        <v>27800000</v>
      </c>
      <c r="C10" s="314">
        <v>0</v>
      </c>
      <c r="D10" s="314">
        <v>0</v>
      </c>
      <c r="E10" s="314">
        <f t="shared" si="0"/>
        <v>27800000</v>
      </c>
    </row>
    <row r="11" spans="1:5" ht="7.5" customHeight="1" x14ac:dyDescent="0.2">
      <c r="A11" s="343"/>
      <c r="B11" s="314"/>
      <c r="C11" s="314"/>
      <c r="D11" s="314"/>
      <c r="E11" s="314">
        <f t="shared" si="0"/>
        <v>0</v>
      </c>
    </row>
    <row r="12" spans="1:5" x14ac:dyDescent="0.2">
      <c r="A12" s="341" t="s">
        <v>147</v>
      </c>
      <c r="B12" s="323">
        <v>9600000</v>
      </c>
      <c r="C12" s="323">
        <v>240000</v>
      </c>
      <c r="D12" s="323">
        <v>215000</v>
      </c>
      <c r="E12" s="323">
        <f t="shared" si="0"/>
        <v>10055000</v>
      </c>
    </row>
    <row r="13" spans="1:5" ht="12.75" customHeight="1" x14ac:dyDescent="0.2">
      <c r="A13" s="342" t="s">
        <v>159</v>
      </c>
      <c r="B13" s="314">
        <v>2950000</v>
      </c>
      <c r="C13" s="314">
        <v>240000</v>
      </c>
      <c r="D13" s="314">
        <v>30000</v>
      </c>
      <c r="E13" s="314">
        <f t="shared" si="0"/>
        <v>3220000</v>
      </c>
    </row>
    <row r="14" spans="1:5" ht="12.75" customHeight="1" x14ac:dyDescent="0.2">
      <c r="A14" s="342" t="s">
        <v>560</v>
      </c>
      <c r="B14" s="314">
        <v>900000</v>
      </c>
      <c r="C14" s="314">
        <v>0</v>
      </c>
      <c r="D14" s="314"/>
      <c r="E14" s="314">
        <f t="shared" si="0"/>
        <v>900000</v>
      </c>
    </row>
    <row r="15" spans="1:5" x14ac:dyDescent="0.2">
      <c r="A15" s="342" t="s">
        <v>160</v>
      </c>
      <c r="B15" s="314">
        <v>5750000</v>
      </c>
      <c r="C15" s="314"/>
      <c r="D15" s="314">
        <v>185000</v>
      </c>
      <c r="E15" s="314">
        <f t="shared" si="0"/>
        <v>5935000</v>
      </c>
    </row>
    <row r="16" spans="1:5" ht="6.75" customHeight="1" x14ac:dyDescent="0.2">
      <c r="A16" s="344"/>
      <c r="B16" s="314"/>
      <c r="C16" s="314"/>
      <c r="D16" s="314">
        <v>0</v>
      </c>
      <c r="E16" s="314">
        <f t="shared" si="0"/>
        <v>0</v>
      </c>
    </row>
    <row r="17" spans="1:5" ht="13.5" customHeight="1" x14ac:dyDescent="0.2">
      <c r="A17" s="339" t="s">
        <v>148</v>
      </c>
      <c r="B17" s="323">
        <v>517800</v>
      </c>
      <c r="C17" s="323">
        <v>10000</v>
      </c>
      <c r="D17" s="323">
        <v>15000</v>
      </c>
      <c r="E17" s="323">
        <f t="shared" si="0"/>
        <v>542800</v>
      </c>
    </row>
    <row r="18" spans="1:5" ht="6.75" customHeight="1" x14ac:dyDescent="0.2">
      <c r="A18" s="345"/>
      <c r="B18" s="314"/>
      <c r="C18" s="314">
        <v>0</v>
      </c>
      <c r="D18" s="314">
        <v>0</v>
      </c>
      <c r="E18" s="314">
        <f t="shared" si="0"/>
        <v>0</v>
      </c>
    </row>
    <row r="19" spans="1:5" x14ac:dyDescent="0.2">
      <c r="A19" s="339" t="s">
        <v>788</v>
      </c>
      <c r="B19" s="323">
        <v>56424616</v>
      </c>
      <c r="C19" s="323">
        <v>876436</v>
      </c>
      <c r="D19" s="323">
        <v>1417111</v>
      </c>
      <c r="E19" s="323">
        <f t="shared" si="0"/>
        <v>58718163</v>
      </c>
    </row>
    <row r="20" spans="1:5" x14ac:dyDescent="0.2">
      <c r="A20" s="346" t="s">
        <v>142</v>
      </c>
      <c r="B20" s="314">
        <v>41865819</v>
      </c>
      <c r="C20" s="314">
        <v>540749</v>
      </c>
      <c r="D20" s="314">
        <v>1355158</v>
      </c>
      <c r="E20" s="314">
        <f t="shared" si="0"/>
        <v>43761726</v>
      </c>
    </row>
    <row r="21" spans="1:5" x14ac:dyDescent="0.2">
      <c r="A21" s="346" t="s">
        <v>295</v>
      </c>
      <c r="B21" s="314">
        <v>8178985</v>
      </c>
      <c r="C21" s="314">
        <v>70877</v>
      </c>
      <c r="D21" s="314">
        <v>-65954</v>
      </c>
      <c r="E21" s="314">
        <f t="shared" si="0"/>
        <v>8183908</v>
      </c>
    </row>
    <row r="22" spans="1:5" x14ac:dyDescent="0.2">
      <c r="A22" s="346" t="s">
        <v>337</v>
      </c>
      <c r="B22" s="314">
        <v>2934498</v>
      </c>
      <c r="C22" s="314">
        <v>201935</v>
      </c>
      <c r="D22" s="314">
        <v>144964</v>
      </c>
      <c r="E22" s="314">
        <f t="shared" si="0"/>
        <v>3281397</v>
      </c>
    </row>
    <row r="23" spans="1:5" x14ac:dyDescent="0.2">
      <c r="A23" s="346" t="s">
        <v>299</v>
      </c>
      <c r="B23" s="314">
        <v>3445314</v>
      </c>
      <c r="C23" s="314">
        <v>62875</v>
      </c>
      <c r="D23" s="314">
        <v>-17057</v>
      </c>
      <c r="E23" s="314">
        <f t="shared" si="0"/>
        <v>3491132</v>
      </c>
    </row>
    <row r="24" spans="1:5" ht="7.5" customHeight="1" x14ac:dyDescent="0.2">
      <c r="A24" s="320"/>
      <c r="B24" s="314"/>
      <c r="C24" s="314">
        <v>0</v>
      </c>
      <c r="D24" s="314">
        <v>0</v>
      </c>
      <c r="E24" s="314">
        <f t="shared" si="0"/>
        <v>0</v>
      </c>
    </row>
    <row r="25" spans="1:5" x14ac:dyDescent="0.2">
      <c r="A25" s="339" t="s">
        <v>149</v>
      </c>
      <c r="B25" s="347">
        <v>1074000</v>
      </c>
      <c r="C25" s="347">
        <v>160750</v>
      </c>
      <c r="D25" s="347">
        <v>87273</v>
      </c>
      <c r="E25" s="347">
        <f t="shared" si="0"/>
        <v>1322023</v>
      </c>
    </row>
    <row r="26" spans="1:5" x14ac:dyDescent="0.2">
      <c r="A26" s="346" t="s">
        <v>161</v>
      </c>
      <c r="B26" s="314">
        <v>774000</v>
      </c>
      <c r="C26" s="314">
        <v>26000</v>
      </c>
      <c r="D26" s="314">
        <v>20000</v>
      </c>
      <c r="E26" s="314">
        <f t="shared" si="0"/>
        <v>820000</v>
      </c>
    </row>
    <row r="27" spans="1:5" x14ac:dyDescent="0.2">
      <c r="A27" s="346" t="s">
        <v>333</v>
      </c>
      <c r="B27" s="314">
        <v>300000</v>
      </c>
      <c r="C27" s="314">
        <v>134750</v>
      </c>
      <c r="D27" s="314">
        <v>67273</v>
      </c>
      <c r="E27" s="314">
        <f t="shared" si="0"/>
        <v>502023</v>
      </c>
    </row>
    <row r="28" spans="1:5" ht="8.25" customHeight="1" x14ac:dyDescent="0.2">
      <c r="A28" s="320"/>
      <c r="B28" s="314"/>
      <c r="C28" s="314">
        <v>0</v>
      </c>
      <c r="D28" s="314">
        <v>0</v>
      </c>
      <c r="E28" s="314">
        <f t="shared" si="0"/>
        <v>0</v>
      </c>
    </row>
    <row r="29" spans="1:5" x14ac:dyDescent="0.2">
      <c r="A29" s="339" t="s">
        <v>150</v>
      </c>
      <c r="B29" s="347">
        <v>50000</v>
      </c>
      <c r="C29" s="347"/>
      <c r="D29" s="347"/>
      <c r="E29" s="347">
        <f t="shared" si="0"/>
        <v>50000</v>
      </c>
    </row>
    <row r="30" spans="1:5" x14ac:dyDescent="0.2">
      <c r="A30" s="346" t="s">
        <v>162</v>
      </c>
      <c r="B30" s="314">
        <v>50000</v>
      </c>
      <c r="C30" s="314"/>
      <c r="D30" s="314"/>
      <c r="E30" s="314">
        <f t="shared" si="0"/>
        <v>50000</v>
      </c>
    </row>
    <row r="31" spans="1:5" ht="9" customHeight="1" x14ac:dyDescent="0.2">
      <c r="A31" s="320"/>
      <c r="B31" s="314"/>
      <c r="C31" s="314"/>
      <c r="D31" s="314"/>
      <c r="E31" s="314">
        <f t="shared" si="0"/>
        <v>0</v>
      </c>
    </row>
    <row r="32" spans="1:5" x14ac:dyDescent="0.2">
      <c r="A32" s="339" t="s">
        <v>163</v>
      </c>
      <c r="B32" s="347">
        <v>1290943</v>
      </c>
      <c r="C32" s="347">
        <v>2036846</v>
      </c>
      <c r="D32" s="347">
        <v>667402</v>
      </c>
      <c r="E32" s="347">
        <f t="shared" si="0"/>
        <v>3995191</v>
      </c>
    </row>
    <row r="33" spans="1:5" x14ac:dyDescent="0.2">
      <c r="A33" s="346" t="s">
        <v>177</v>
      </c>
      <c r="B33" s="314">
        <v>2184000</v>
      </c>
      <c r="C33" s="314">
        <v>2508000</v>
      </c>
      <c r="D33" s="314">
        <v>667402</v>
      </c>
      <c r="E33" s="314">
        <f t="shared" si="0"/>
        <v>5359402</v>
      </c>
    </row>
    <row r="34" spans="1:5" x14ac:dyDescent="0.2">
      <c r="A34" s="346" t="s">
        <v>24</v>
      </c>
      <c r="B34" s="314">
        <v>-883057</v>
      </c>
      <c r="C34" s="314">
        <v>-471154</v>
      </c>
      <c r="D34" s="314">
        <v>0</v>
      </c>
      <c r="E34" s="314">
        <f t="shared" si="0"/>
        <v>-1354211</v>
      </c>
    </row>
    <row r="35" spans="1:5" x14ac:dyDescent="0.2">
      <c r="A35" s="346" t="s">
        <v>151</v>
      </c>
      <c r="B35" s="314">
        <v>-10000</v>
      </c>
      <c r="C35" s="314">
        <v>0</v>
      </c>
      <c r="D35" s="314"/>
      <c r="E35" s="314">
        <f t="shared" si="0"/>
        <v>-10000</v>
      </c>
    </row>
    <row r="36" spans="1:5" ht="9" customHeight="1" x14ac:dyDescent="0.2">
      <c r="A36" s="320"/>
      <c r="B36" s="314"/>
      <c r="C36" s="314"/>
      <c r="D36" s="314"/>
      <c r="E36" s="314">
        <f t="shared" si="0"/>
        <v>0</v>
      </c>
    </row>
    <row r="37" spans="1:5" x14ac:dyDescent="0.2">
      <c r="A37" s="339" t="s">
        <v>152</v>
      </c>
      <c r="B37" s="347">
        <v>207150</v>
      </c>
      <c r="C37" s="347"/>
      <c r="D37" s="347">
        <v>-81454</v>
      </c>
      <c r="E37" s="347">
        <f t="shared" si="0"/>
        <v>125696</v>
      </c>
    </row>
    <row r="38" spans="1:5" x14ac:dyDescent="0.2">
      <c r="A38" s="346" t="s">
        <v>561</v>
      </c>
      <c r="B38" s="314">
        <v>310000</v>
      </c>
      <c r="C38" s="314"/>
      <c r="D38" s="314">
        <v>18546</v>
      </c>
      <c r="E38" s="314">
        <f t="shared" si="0"/>
        <v>328546</v>
      </c>
    </row>
    <row r="39" spans="1:5" x14ac:dyDescent="0.2">
      <c r="A39" s="346" t="s">
        <v>143</v>
      </c>
      <c r="B39" s="314">
        <v>67150</v>
      </c>
      <c r="C39" s="314"/>
      <c r="D39" s="314"/>
      <c r="E39" s="314">
        <f t="shared" si="0"/>
        <v>67150</v>
      </c>
    </row>
    <row r="40" spans="1:5" x14ac:dyDescent="0.2">
      <c r="A40" s="68" t="s">
        <v>622</v>
      </c>
      <c r="B40" s="314">
        <v>-170000</v>
      </c>
      <c r="C40" s="314"/>
      <c r="D40" s="314">
        <v>-100000</v>
      </c>
      <c r="E40" s="314">
        <f t="shared" si="0"/>
        <v>-270000</v>
      </c>
    </row>
    <row r="41" spans="1:5" ht="8.25" customHeight="1" x14ac:dyDescent="0.2">
      <c r="A41" s="320"/>
      <c r="B41" s="314"/>
      <c r="C41" s="314"/>
      <c r="D41" s="314">
        <v>0</v>
      </c>
      <c r="E41" s="314">
        <f t="shared" si="0"/>
        <v>0</v>
      </c>
    </row>
    <row r="42" spans="1:5" x14ac:dyDescent="0.2">
      <c r="A42" s="339" t="s">
        <v>153</v>
      </c>
      <c r="B42" s="323">
        <v>6850000</v>
      </c>
      <c r="C42" s="323">
        <v>1645817</v>
      </c>
      <c r="D42" s="323"/>
      <c r="E42" s="323">
        <f t="shared" si="0"/>
        <v>8495817</v>
      </c>
    </row>
    <row r="43" spans="1:5" ht="8.25" customHeight="1" x14ac:dyDescent="0.2">
      <c r="A43" s="339"/>
      <c r="B43" s="314"/>
      <c r="C43" s="314">
        <v>0</v>
      </c>
      <c r="D43" s="314"/>
      <c r="E43" s="314">
        <f t="shared" si="0"/>
        <v>0</v>
      </c>
    </row>
    <row r="44" spans="1:5" x14ac:dyDescent="0.2">
      <c r="A44" s="348" t="s">
        <v>827</v>
      </c>
      <c r="B44" s="347">
        <v>407949639</v>
      </c>
      <c r="C44" s="347">
        <v>9044849</v>
      </c>
      <c r="D44" s="347">
        <v>4526864</v>
      </c>
      <c r="E44" s="347">
        <f t="shared" si="0"/>
        <v>421521352</v>
      </c>
    </row>
    <row r="45" spans="1:5" ht="7.5" customHeight="1" x14ac:dyDescent="0.2">
      <c r="A45" s="339"/>
      <c r="B45" s="314"/>
      <c r="C45" s="314">
        <v>0</v>
      </c>
      <c r="D45" s="314">
        <v>0</v>
      </c>
      <c r="E45" s="314">
        <f t="shared" si="0"/>
        <v>0</v>
      </c>
    </row>
    <row r="46" spans="1:5" x14ac:dyDescent="0.2">
      <c r="A46" s="339" t="s">
        <v>164</v>
      </c>
      <c r="B46" s="347">
        <v>78937137</v>
      </c>
      <c r="C46" s="347">
        <v>1013102</v>
      </c>
      <c r="D46" s="347">
        <v>93714</v>
      </c>
      <c r="E46" s="347">
        <f t="shared" si="0"/>
        <v>80043953</v>
      </c>
    </row>
    <row r="47" spans="1:5" x14ac:dyDescent="0.2">
      <c r="A47" s="320" t="s">
        <v>828</v>
      </c>
      <c r="B47" s="314">
        <v>78201965</v>
      </c>
      <c r="C47" s="314">
        <v>439451</v>
      </c>
      <c r="D47" s="314">
        <v>78776</v>
      </c>
      <c r="E47" s="314">
        <f t="shared" si="0"/>
        <v>78720192</v>
      </c>
    </row>
    <row r="48" spans="1:5" x14ac:dyDescent="0.2">
      <c r="A48" s="346" t="s">
        <v>165</v>
      </c>
      <c r="B48" s="314">
        <v>609865</v>
      </c>
      <c r="C48" s="314">
        <v>573651</v>
      </c>
      <c r="D48" s="314">
        <v>14938</v>
      </c>
      <c r="E48" s="314">
        <f t="shared" si="0"/>
        <v>1198454</v>
      </c>
    </row>
    <row r="49" spans="1:5" x14ac:dyDescent="0.2">
      <c r="A49" s="346" t="s">
        <v>829</v>
      </c>
      <c r="B49" s="314">
        <v>125307</v>
      </c>
      <c r="C49" s="314">
        <v>0</v>
      </c>
      <c r="D49" s="314">
        <v>0</v>
      </c>
      <c r="E49" s="314">
        <f t="shared" si="0"/>
        <v>125307</v>
      </c>
    </row>
    <row r="50" spans="1:5" ht="9.75" customHeight="1" x14ac:dyDescent="0.2">
      <c r="A50" s="320"/>
      <c r="B50" s="314"/>
      <c r="C50" s="314"/>
      <c r="D50" s="314"/>
      <c r="E50" s="314">
        <f t="shared" si="0"/>
        <v>0</v>
      </c>
    </row>
    <row r="51" spans="1:5" x14ac:dyDescent="0.2">
      <c r="A51" s="339" t="s">
        <v>825</v>
      </c>
      <c r="B51" s="347">
        <v>486886776</v>
      </c>
      <c r="C51" s="347">
        <v>10057951</v>
      </c>
      <c r="D51" s="347">
        <v>4620578</v>
      </c>
      <c r="E51" s="347">
        <f t="shared" si="0"/>
        <v>501565305</v>
      </c>
    </row>
    <row r="52" spans="1:5" x14ac:dyDescent="0.2">
      <c r="E52" s="314"/>
    </row>
  </sheetData>
  <mergeCells count="1">
    <mergeCell ref="B3:E3"/>
  </mergeCells>
  <pageMargins left="1.1811023622047245" right="0.47244094488188981" top="0.47244094488188981" bottom="0.98425196850393704" header="0.51181102362204722" footer="0.51181102362204722"/>
  <pageSetup paperSize="9" scale="90" orientation="portrait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F83"/>
  <sheetViews>
    <sheetView showZeros="0" zoomScaleNormal="100" workbookViewId="0">
      <pane ySplit="4" topLeftCell="A5" activePane="bottomLeft" state="frozen"/>
      <selection activeCell="F136" sqref="F136"/>
      <selection pane="bottomLeft"/>
    </sheetView>
  </sheetViews>
  <sheetFormatPr defaultColWidth="9.140625" defaultRowHeight="12.75" x14ac:dyDescent="0.2"/>
  <cols>
    <col min="1" max="1" width="42.5703125" style="57" bestFit="1" customWidth="1"/>
    <col min="2" max="2" width="11.7109375" style="57" bestFit="1" customWidth="1"/>
    <col min="3" max="4" width="10.85546875" style="57" hidden="1" customWidth="1"/>
    <col min="5" max="5" width="11.7109375" style="57" bestFit="1" customWidth="1"/>
    <col min="6" max="16384" width="9.140625" style="57"/>
  </cols>
  <sheetData>
    <row r="1" spans="1:5" ht="15" x14ac:dyDescent="0.25">
      <c r="A1" s="19" t="s">
        <v>166</v>
      </c>
    </row>
    <row r="2" spans="1:5" ht="15" x14ac:dyDescent="0.25">
      <c r="A2" s="19"/>
      <c r="E2" s="318" t="s">
        <v>145</v>
      </c>
    </row>
    <row r="3" spans="1:5" x14ac:dyDescent="0.2">
      <c r="A3" s="64"/>
      <c r="B3" s="642">
        <v>2015</v>
      </c>
      <c r="C3" s="643"/>
      <c r="D3" s="643"/>
      <c r="E3" s="644"/>
    </row>
    <row r="4" spans="1:5" ht="25.5" x14ac:dyDescent="0.2">
      <c r="A4" s="20"/>
      <c r="B4" s="486" t="s">
        <v>674</v>
      </c>
      <c r="C4" s="483" t="s">
        <v>672</v>
      </c>
      <c r="D4" s="483" t="s">
        <v>844</v>
      </c>
      <c r="E4" s="487" t="s">
        <v>673</v>
      </c>
    </row>
    <row r="5" spans="1:5" x14ac:dyDescent="0.2">
      <c r="A5" s="21" t="s">
        <v>146</v>
      </c>
      <c r="B5" s="22">
        <f>B6+B9</f>
        <v>331935130</v>
      </c>
      <c r="C5" s="22">
        <f>C6</f>
        <v>4075000</v>
      </c>
      <c r="D5" s="22">
        <f>D6+D9</f>
        <v>2206532</v>
      </c>
      <c r="E5" s="22">
        <f>SUM(B5:D5)</f>
        <v>338216662</v>
      </c>
    </row>
    <row r="6" spans="1:5" ht="12.75" customHeight="1" x14ac:dyDescent="0.2">
      <c r="A6" s="20" t="s">
        <v>157</v>
      </c>
      <c r="B6" s="23">
        <f>B7</f>
        <v>304135130</v>
      </c>
      <c r="C6" s="23">
        <f>C7</f>
        <v>4075000</v>
      </c>
      <c r="D6" s="23">
        <f>D7</f>
        <v>2206532</v>
      </c>
      <c r="E6" s="23">
        <f t="shared" ref="E6:E69" si="0">SUM(B6:D6)</f>
        <v>310416662</v>
      </c>
    </row>
    <row r="7" spans="1:5" ht="12.75" customHeight="1" x14ac:dyDescent="0.2">
      <c r="A7" s="17" t="s">
        <v>156</v>
      </c>
      <c r="B7" s="24">
        <f>304000000+10000+10000+20000+4000+65000+26130</f>
        <v>304135130</v>
      </c>
      <c r="C7" s="24">
        <f>4070000+5000</f>
        <v>4075000</v>
      </c>
      <c r="D7" s="24">
        <v>2206532</v>
      </c>
      <c r="E7" s="24">
        <f t="shared" si="0"/>
        <v>310416662</v>
      </c>
    </row>
    <row r="8" spans="1:5" x14ac:dyDescent="0.2">
      <c r="A8" s="17"/>
      <c r="B8" s="58"/>
      <c r="C8" s="58"/>
      <c r="D8" s="58"/>
      <c r="E8" s="58">
        <f t="shared" si="0"/>
        <v>0</v>
      </c>
    </row>
    <row r="9" spans="1:5" ht="12.75" customHeight="1" x14ac:dyDescent="0.2">
      <c r="A9" s="20" t="s">
        <v>158</v>
      </c>
      <c r="B9" s="23">
        <f>B10</f>
        <v>27800000</v>
      </c>
      <c r="C9" s="23"/>
      <c r="D9" s="23"/>
      <c r="E9" s="23">
        <f t="shared" si="0"/>
        <v>27800000</v>
      </c>
    </row>
    <row r="10" spans="1:5" ht="12.75" customHeight="1" x14ac:dyDescent="0.2">
      <c r="A10" s="17" t="s">
        <v>156</v>
      </c>
      <c r="B10" s="24">
        <v>27800000</v>
      </c>
      <c r="C10" s="24"/>
      <c r="D10" s="24"/>
      <c r="E10" s="24">
        <f t="shared" si="0"/>
        <v>27800000</v>
      </c>
    </row>
    <row r="11" spans="1:5" x14ac:dyDescent="0.2">
      <c r="A11" s="20"/>
      <c r="B11" s="58"/>
      <c r="C11" s="58"/>
      <c r="D11" s="58"/>
      <c r="E11" s="58">
        <f t="shared" si="0"/>
        <v>0</v>
      </c>
    </row>
    <row r="12" spans="1:5" x14ac:dyDescent="0.2">
      <c r="A12" s="21" t="s">
        <v>147</v>
      </c>
      <c r="B12" s="22">
        <f>B13+B16+B19</f>
        <v>9600000</v>
      </c>
      <c r="C12" s="22">
        <f t="shared" ref="C12:D12" si="1">C13+C16+C19</f>
        <v>240000</v>
      </c>
      <c r="D12" s="22">
        <f t="shared" si="1"/>
        <v>215000</v>
      </c>
      <c r="E12" s="22">
        <f t="shared" si="0"/>
        <v>10055000</v>
      </c>
    </row>
    <row r="13" spans="1:5" ht="12.75" customHeight="1" x14ac:dyDescent="0.2">
      <c r="A13" s="25" t="s">
        <v>159</v>
      </c>
      <c r="B13" s="26">
        <f>B14</f>
        <v>2950000</v>
      </c>
      <c r="C13" s="26">
        <f>C14</f>
        <v>240000</v>
      </c>
      <c r="D13" s="26">
        <f>D14</f>
        <v>30000</v>
      </c>
      <c r="E13" s="26">
        <f t="shared" si="0"/>
        <v>3220000</v>
      </c>
    </row>
    <row r="14" spans="1:5" ht="12.75" customHeight="1" x14ac:dyDescent="0.2">
      <c r="A14" s="28" t="s">
        <v>167</v>
      </c>
      <c r="B14" s="63">
        <v>2950000</v>
      </c>
      <c r="C14" s="63">
        <v>240000</v>
      </c>
      <c r="D14" s="63">
        <v>30000</v>
      </c>
      <c r="E14" s="63">
        <f t="shared" si="0"/>
        <v>3220000</v>
      </c>
    </row>
    <row r="15" spans="1:5" ht="12.75" customHeight="1" x14ac:dyDescent="0.2">
      <c r="A15" s="27"/>
      <c r="B15" s="25"/>
      <c r="C15" s="25"/>
      <c r="D15" s="25"/>
      <c r="E15" s="25">
        <f t="shared" si="0"/>
        <v>0</v>
      </c>
    </row>
    <row r="16" spans="1:5" ht="12.75" customHeight="1" x14ac:dyDescent="0.2">
      <c r="A16" s="25" t="s">
        <v>560</v>
      </c>
      <c r="B16" s="26">
        <f>B17</f>
        <v>900000</v>
      </c>
      <c r="C16" s="26"/>
      <c r="D16" s="26"/>
      <c r="E16" s="26">
        <f t="shared" si="0"/>
        <v>900000</v>
      </c>
    </row>
    <row r="17" spans="1:5" ht="12.75" customHeight="1" x14ac:dyDescent="0.2">
      <c r="A17" s="28" t="s">
        <v>168</v>
      </c>
      <c r="B17" s="63">
        <v>900000</v>
      </c>
      <c r="C17" s="63"/>
      <c r="D17" s="63"/>
      <c r="E17" s="63">
        <f t="shared" si="0"/>
        <v>900000</v>
      </c>
    </row>
    <row r="18" spans="1:5" ht="12.75" customHeight="1" x14ac:dyDescent="0.2">
      <c r="A18" s="27"/>
      <c r="B18" s="25"/>
      <c r="C18" s="25"/>
      <c r="D18" s="25"/>
      <c r="E18" s="25">
        <f t="shared" si="0"/>
        <v>0</v>
      </c>
    </row>
    <row r="19" spans="1:5" x14ac:dyDescent="0.2">
      <c r="A19" s="25" t="s">
        <v>160</v>
      </c>
      <c r="B19" s="26">
        <f>B20</f>
        <v>5750000</v>
      </c>
      <c r="C19" s="26">
        <f t="shared" ref="C19:D19" si="2">C20</f>
        <v>0</v>
      </c>
      <c r="D19" s="26">
        <f t="shared" si="2"/>
        <v>185000</v>
      </c>
      <c r="E19" s="26">
        <f t="shared" si="0"/>
        <v>5935000</v>
      </c>
    </row>
    <row r="20" spans="1:5" ht="12.75" customHeight="1" x14ac:dyDescent="0.2">
      <c r="A20" s="28" t="s">
        <v>168</v>
      </c>
      <c r="B20" s="63">
        <v>5750000</v>
      </c>
      <c r="C20" s="63"/>
      <c r="D20" s="63">
        <v>185000</v>
      </c>
      <c r="E20" s="63">
        <f t="shared" si="0"/>
        <v>5935000</v>
      </c>
    </row>
    <row r="21" spans="1:5" x14ac:dyDescent="0.2">
      <c r="A21" s="28"/>
      <c r="B21" s="25"/>
      <c r="C21" s="25"/>
      <c r="D21" s="25"/>
      <c r="E21" s="25">
        <f t="shared" si="0"/>
        <v>0</v>
      </c>
    </row>
    <row r="22" spans="1:5" ht="12.75" customHeight="1" x14ac:dyDescent="0.2">
      <c r="A22" s="21" t="s">
        <v>148</v>
      </c>
      <c r="B22" s="22">
        <f>SUM(B23:B25)</f>
        <v>517800</v>
      </c>
      <c r="C22" s="22">
        <f t="shared" ref="C22:D22" si="3">SUM(C23:C25)</f>
        <v>10000</v>
      </c>
      <c r="D22" s="22">
        <f t="shared" si="3"/>
        <v>15000</v>
      </c>
      <c r="E22" s="22">
        <f t="shared" si="0"/>
        <v>542800</v>
      </c>
    </row>
    <row r="23" spans="1:5" x14ac:dyDescent="0.2">
      <c r="A23" s="28" t="s">
        <v>169</v>
      </c>
      <c r="B23" s="63">
        <v>2800</v>
      </c>
      <c r="C23" s="63"/>
      <c r="D23" s="63"/>
      <c r="E23" s="63">
        <f t="shared" si="0"/>
        <v>2800</v>
      </c>
    </row>
    <row r="24" spans="1:5" x14ac:dyDescent="0.2">
      <c r="A24" s="28" t="s">
        <v>168</v>
      </c>
      <c r="B24" s="63">
        <v>35000</v>
      </c>
      <c r="C24" s="63">
        <v>10000</v>
      </c>
      <c r="D24" s="63">
        <v>15000</v>
      </c>
      <c r="E24" s="63">
        <f t="shared" si="0"/>
        <v>60000</v>
      </c>
    </row>
    <row r="25" spans="1:5" x14ac:dyDescent="0.2">
      <c r="A25" s="17" t="s">
        <v>170</v>
      </c>
      <c r="B25" s="24">
        <v>480000</v>
      </c>
      <c r="C25" s="24"/>
      <c r="D25" s="24"/>
      <c r="E25" s="24">
        <f t="shared" si="0"/>
        <v>480000</v>
      </c>
    </row>
    <row r="26" spans="1:5" ht="12.75" customHeight="1" x14ac:dyDescent="0.2">
      <c r="A26" s="28"/>
      <c r="B26" s="58"/>
      <c r="C26" s="58"/>
      <c r="D26" s="58"/>
      <c r="E26" s="58">
        <f t="shared" si="0"/>
        <v>0</v>
      </c>
    </row>
    <row r="27" spans="1:5" x14ac:dyDescent="0.2">
      <c r="A27" s="205" t="s">
        <v>337</v>
      </c>
      <c r="B27" s="7">
        <f>B28+B30</f>
        <v>623288</v>
      </c>
      <c r="C27" s="7">
        <f t="shared" ref="C27:D27" si="4">C28+C30</f>
        <v>0</v>
      </c>
      <c r="D27" s="7">
        <f t="shared" si="4"/>
        <v>76535</v>
      </c>
      <c r="E27" s="7">
        <f t="shared" si="0"/>
        <v>699823</v>
      </c>
    </row>
    <row r="28" spans="1:5" x14ac:dyDescent="0.2">
      <c r="A28" s="16" t="s">
        <v>171</v>
      </c>
      <c r="B28" s="23">
        <f>B29</f>
        <v>573723</v>
      </c>
      <c r="C28" s="23">
        <f t="shared" ref="C28:D28" si="5">C29</f>
        <v>0</v>
      </c>
      <c r="D28" s="23">
        <f t="shared" si="5"/>
        <v>49000</v>
      </c>
      <c r="E28" s="23">
        <f t="shared" si="0"/>
        <v>622723</v>
      </c>
    </row>
    <row r="29" spans="1:5" x14ac:dyDescent="0.2">
      <c r="A29" s="17" t="s">
        <v>172</v>
      </c>
      <c r="B29" s="24">
        <v>573723</v>
      </c>
      <c r="C29" s="24"/>
      <c r="D29" s="24">
        <v>49000</v>
      </c>
      <c r="E29" s="24">
        <f t="shared" si="0"/>
        <v>622723</v>
      </c>
    </row>
    <row r="30" spans="1:5" ht="12.75" customHeight="1" x14ac:dyDescent="0.2">
      <c r="A30" s="16" t="s">
        <v>173</v>
      </c>
      <c r="B30" s="23">
        <f>B31</f>
        <v>49565</v>
      </c>
      <c r="C30" s="23"/>
      <c r="D30" s="23">
        <f>D31+D32</f>
        <v>27535</v>
      </c>
      <c r="E30" s="23">
        <f t="shared" si="0"/>
        <v>77100</v>
      </c>
    </row>
    <row r="31" spans="1:5" ht="12.75" customHeight="1" x14ac:dyDescent="0.2">
      <c r="A31" s="17" t="s">
        <v>172</v>
      </c>
      <c r="B31" s="24">
        <v>49565</v>
      </c>
      <c r="C31" s="24"/>
      <c r="D31" s="24">
        <v>21850</v>
      </c>
      <c r="E31" s="24">
        <f t="shared" si="0"/>
        <v>71415</v>
      </c>
    </row>
    <row r="32" spans="1:5" ht="12.75" customHeight="1" x14ac:dyDescent="0.2">
      <c r="A32" s="17" t="s">
        <v>846</v>
      </c>
      <c r="B32" s="24"/>
      <c r="C32" s="24"/>
      <c r="D32" s="24">
        <v>5685</v>
      </c>
      <c r="E32" s="24">
        <f t="shared" si="0"/>
        <v>5685</v>
      </c>
    </row>
    <row r="33" spans="1:5" x14ac:dyDescent="0.2">
      <c r="A33" s="25"/>
      <c r="B33" s="58"/>
      <c r="C33" s="58"/>
      <c r="D33" s="58"/>
      <c r="E33" s="58">
        <f t="shared" si="0"/>
        <v>0</v>
      </c>
    </row>
    <row r="34" spans="1:5" x14ac:dyDescent="0.2">
      <c r="A34" s="21" t="s">
        <v>149</v>
      </c>
      <c r="B34" s="7">
        <f>B36+B41</f>
        <v>889000</v>
      </c>
      <c r="C34" s="7">
        <f>C36+C41</f>
        <v>160750</v>
      </c>
      <c r="D34" s="7">
        <f>D36+D41</f>
        <v>87273</v>
      </c>
      <c r="E34" s="7">
        <f t="shared" si="0"/>
        <v>1137023</v>
      </c>
    </row>
    <row r="35" spans="1:5" ht="12.75" customHeight="1" x14ac:dyDescent="0.2">
      <c r="A35" s="28"/>
      <c r="B35" s="58"/>
      <c r="C35" s="58"/>
      <c r="D35" s="58"/>
      <c r="E35" s="58">
        <f t="shared" si="0"/>
        <v>0</v>
      </c>
    </row>
    <row r="36" spans="1:5" ht="12.75" customHeight="1" x14ac:dyDescent="0.2">
      <c r="A36" s="25" t="s">
        <v>161</v>
      </c>
      <c r="B36" s="54">
        <f>B37+B38+B39</f>
        <v>774000</v>
      </c>
      <c r="C36" s="54">
        <f>SUM(C37:C39)</f>
        <v>26000</v>
      </c>
      <c r="D36" s="54">
        <f>SUM(D37:D39)</f>
        <v>20000</v>
      </c>
      <c r="E36" s="54">
        <f t="shared" si="0"/>
        <v>820000</v>
      </c>
    </row>
    <row r="37" spans="1:5" x14ac:dyDescent="0.2">
      <c r="A37" s="17" t="s">
        <v>167</v>
      </c>
      <c r="B37" s="24">
        <v>4000</v>
      </c>
      <c r="C37" s="24"/>
      <c r="D37" s="24"/>
      <c r="E37" s="24">
        <f t="shared" si="0"/>
        <v>4000</v>
      </c>
    </row>
    <row r="38" spans="1:5" x14ac:dyDescent="0.2">
      <c r="A38" s="17" t="s">
        <v>168</v>
      </c>
      <c r="B38" s="24">
        <v>15000</v>
      </c>
      <c r="C38" s="24">
        <v>1000</v>
      </c>
      <c r="D38" s="24"/>
      <c r="E38" s="24">
        <f t="shared" si="0"/>
        <v>16000</v>
      </c>
    </row>
    <row r="39" spans="1:5" x14ac:dyDescent="0.2">
      <c r="A39" s="17" t="s">
        <v>175</v>
      </c>
      <c r="B39" s="24">
        <v>755000</v>
      </c>
      <c r="C39" s="24">
        <v>25000</v>
      </c>
      <c r="D39" s="24">
        <v>20000</v>
      </c>
      <c r="E39" s="24">
        <f t="shared" si="0"/>
        <v>800000</v>
      </c>
    </row>
    <row r="40" spans="1:5" x14ac:dyDescent="0.2">
      <c r="A40" s="27"/>
      <c r="B40" s="58"/>
      <c r="C40" s="58"/>
      <c r="D40" s="58"/>
      <c r="E40" s="58">
        <f t="shared" si="0"/>
        <v>0</v>
      </c>
    </row>
    <row r="41" spans="1:5" x14ac:dyDescent="0.2">
      <c r="A41" s="25" t="s">
        <v>333</v>
      </c>
      <c r="B41" s="26">
        <f>B42+B47</f>
        <v>115000</v>
      </c>
      <c r="C41" s="26">
        <f>C42+C47</f>
        <v>134750</v>
      </c>
      <c r="D41" s="26">
        <f>D42+D45+D47</f>
        <v>67273</v>
      </c>
      <c r="E41" s="26">
        <f t="shared" si="0"/>
        <v>317023</v>
      </c>
    </row>
    <row r="42" spans="1:5" x14ac:dyDescent="0.2">
      <c r="A42" s="55" t="s">
        <v>22</v>
      </c>
      <c r="B42" s="26">
        <f>B43+B44</f>
        <v>50000</v>
      </c>
      <c r="C42" s="26"/>
      <c r="D42" s="26"/>
      <c r="E42" s="26">
        <f t="shared" si="0"/>
        <v>50000</v>
      </c>
    </row>
    <row r="43" spans="1:5" x14ac:dyDescent="0.2">
      <c r="A43" s="17" t="s">
        <v>167</v>
      </c>
      <c r="B43" s="24">
        <v>40000</v>
      </c>
      <c r="C43" s="24"/>
      <c r="D43" s="24"/>
      <c r="E43" s="24">
        <f t="shared" si="0"/>
        <v>40000</v>
      </c>
    </row>
    <row r="44" spans="1:5" x14ac:dyDescent="0.2">
      <c r="A44" s="17" t="s">
        <v>170</v>
      </c>
      <c r="B44" s="24">
        <v>10000</v>
      </c>
      <c r="C44" s="24"/>
      <c r="D44" s="24"/>
      <c r="E44" s="24">
        <f t="shared" si="0"/>
        <v>10000</v>
      </c>
    </row>
    <row r="45" spans="1:5" x14ac:dyDescent="0.2">
      <c r="A45" s="68" t="s">
        <v>847</v>
      </c>
      <c r="B45" s="24"/>
      <c r="C45" s="24"/>
      <c r="D45" s="23">
        <f>D46</f>
        <v>523</v>
      </c>
      <c r="E45" s="24">
        <f t="shared" si="0"/>
        <v>523</v>
      </c>
    </row>
    <row r="46" spans="1:5" x14ac:dyDescent="0.2">
      <c r="A46" s="17" t="s">
        <v>192</v>
      </c>
      <c r="B46" s="24"/>
      <c r="C46" s="24"/>
      <c r="D46" s="24">
        <f>12+511</f>
        <v>523</v>
      </c>
      <c r="E46" s="24">
        <f t="shared" si="0"/>
        <v>523</v>
      </c>
    </row>
    <row r="47" spans="1:5" x14ac:dyDescent="0.2">
      <c r="A47" s="16" t="s">
        <v>23</v>
      </c>
      <c r="B47" s="23">
        <v>65000</v>
      </c>
      <c r="C47" s="23">
        <f>C48+C49</f>
        <v>134750</v>
      </c>
      <c r="D47" s="23">
        <f>SUM(D48:D51)</f>
        <v>66750</v>
      </c>
      <c r="E47" s="23">
        <f t="shared" si="0"/>
        <v>266500</v>
      </c>
    </row>
    <row r="48" spans="1:5" x14ac:dyDescent="0.2">
      <c r="A48" s="296" t="s">
        <v>751</v>
      </c>
      <c r="B48" s="23"/>
      <c r="C48" s="24">
        <v>132940</v>
      </c>
      <c r="D48" s="24"/>
      <c r="E48" s="24">
        <f t="shared" si="0"/>
        <v>132940</v>
      </c>
    </row>
    <row r="49" spans="1:6" x14ac:dyDescent="0.2">
      <c r="A49" s="296" t="s">
        <v>753</v>
      </c>
      <c r="B49" s="23"/>
      <c r="C49" s="24">
        <v>1810</v>
      </c>
      <c r="D49" s="24">
        <v>60000</v>
      </c>
      <c r="E49" s="24">
        <f t="shared" si="0"/>
        <v>61810</v>
      </c>
    </row>
    <row r="50" spans="1:6" x14ac:dyDescent="0.2">
      <c r="A50" s="296" t="s">
        <v>848</v>
      </c>
      <c r="B50" s="23"/>
      <c r="C50" s="24"/>
      <c r="D50" s="24">
        <v>3000</v>
      </c>
      <c r="E50" s="24">
        <f t="shared" si="0"/>
        <v>3000</v>
      </c>
    </row>
    <row r="51" spans="1:6" x14ac:dyDescent="0.2">
      <c r="A51" s="379" t="s">
        <v>213</v>
      </c>
      <c r="B51" s="23"/>
      <c r="C51" s="24"/>
      <c r="D51" s="24">
        <v>3750</v>
      </c>
      <c r="E51" s="24">
        <f t="shared" si="0"/>
        <v>3750</v>
      </c>
    </row>
    <row r="52" spans="1:6" x14ac:dyDescent="0.2">
      <c r="A52" s="27"/>
      <c r="B52" s="58"/>
      <c r="C52" s="58"/>
      <c r="D52" s="58"/>
      <c r="E52" s="58">
        <f t="shared" si="0"/>
        <v>0</v>
      </c>
    </row>
    <row r="53" spans="1:6" x14ac:dyDescent="0.2">
      <c r="A53" s="21" t="s">
        <v>150</v>
      </c>
      <c r="B53" s="22">
        <f>B54</f>
        <v>50000</v>
      </c>
      <c r="C53" s="22"/>
      <c r="D53" s="22"/>
      <c r="E53" s="22">
        <f t="shared" si="0"/>
        <v>50000</v>
      </c>
    </row>
    <row r="54" spans="1:6" x14ac:dyDescent="0.2">
      <c r="A54" s="25" t="s">
        <v>162</v>
      </c>
      <c r="B54" s="26">
        <f>B55</f>
        <v>50000</v>
      </c>
      <c r="C54" s="26"/>
      <c r="D54" s="26"/>
      <c r="E54" s="26">
        <f t="shared" si="0"/>
        <v>50000</v>
      </c>
    </row>
    <row r="55" spans="1:6" x14ac:dyDescent="0.2">
      <c r="A55" s="17" t="s">
        <v>156</v>
      </c>
      <c r="B55" s="24">
        <v>50000</v>
      </c>
      <c r="C55" s="24"/>
      <c r="D55" s="24"/>
      <c r="E55" s="24">
        <f t="shared" si="0"/>
        <v>50000</v>
      </c>
    </row>
    <row r="56" spans="1:6" x14ac:dyDescent="0.2">
      <c r="A56" s="25"/>
      <c r="B56" s="58"/>
      <c r="C56" s="58"/>
      <c r="D56" s="58"/>
      <c r="E56" s="58">
        <f t="shared" si="0"/>
        <v>0</v>
      </c>
    </row>
    <row r="57" spans="1:6" x14ac:dyDescent="0.2">
      <c r="A57" s="21" t="s">
        <v>163</v>
      </c>
      <c r="B57" s="22">
        <f>B58+B63+B64</f>
        <v>1290943</v>
      </c>
      <c r="C57" s="22">
        <f>C58+C63+C64</f>
        <v>2036846</v>
      </c>
      <c r="D57" s="22">
        <f>D58</f>
        <v>667402</v>
      </c>
      <c r="E57" s="22">
        <f t="shared" si="0"/>
        <v>3995191</v>
      </c>
    </row>
    <row r="58" spans="1:6" x14ac:dyDescent="0.2">
      <c r="A58" s="68" t="s">
        <v>177</v>
      </c>
      <c r="B58" s="23">
        <v>2184000</v>
      </c>
      <c r="C58" s="23">
        <v>2508000</v>
      </c>
      <c r="D58" s="23">
        <f>SUM(D59:D62)</f>
        <v>667402</v>
      </c>
      <c r="E58" s="23">
        <f t="shared" si="0"/>
        <v>5359402</v>
      </c>
    </row>
    <row r="59" spans="1:6" x14ac:dyDescent="0.2">
      <c r="A59" s="17" t="s">
        <v>172</v>
      </c>
      <c r="B59" s="24">
        <v>2184000</v>
      </c>
      <c r="C59" s="24">
        <v>2500000</v>
      </c>
      <c r="D59" s="24">
        <v>648397</v>
      </c>
      <c r="E59" s="24">
        <f t="shared" si="0"/>
        <v>5332397</v>
      </c>
    </row>
    <row r="60" spans="1:6" x14ac:dyDescent="0.2">
      <c r="A60" s="17" t="s">
        <v>178</v>
      </c>
      <c r="B60" s="24"/>
      <c r="C60" s="24">
        <v>8000</v>
      </c>
      <c r="D60" s="24">
        <v>1500</v>
      </c>
      <c r="E60" s="24">
        <f t="shared" si="0"/>
        <v>9500</v>
      </c>
    </row>
    <row r="61" spans="1:6" s="58" customFormat="1" x14ac:dyDescent="0.2">
      <c r="A61" s="17" t="s">
        <v>192</v>
      </c>
      <c r="B61" s="24"/>
      <c r="C61" s="24"/>
      <c r="D61" s="24">
        <v>1300</v>
      </c>
      <c r="E61" s="24">
        <f t="shared" si="0"/>
        <v>1300</v>
      </c>
      <c r="F61" s="57"/>
    </row>
    <row r="62" spans="1:6" s="58" customFormat="1" x14ac:dyDescent="0.2">
      <c r="A62" s="17" t="s">
        <v>751</v>
      </c>
      <c r="B62" s="24"/>
      <c r="C62" s="24"/>
      <c r="D62" s="24">
        <v>16205</v>
      </c>
      <c r="E62" s="24">
        <f t="shared" si="0"/>
        <v>16205</v>
      </c>
      <c r="F62" s="57"/>
    </row>
    <row r="63" spans="1:6" s="58" customFormat="1" x14ac:dyDescent="0.2">
      <c r="A63" s="68" t="s">
        <v>24</v>
      </c>
      <c r="B63" s="23">
        <v>-883057</v>
      </c>
      <c r="C63" s="23">
        <v>-471154</v>
      </c>
      <c r="D63" s="23"/>
      <c r="E63" s="23">
        <f t="shared" si="0"/>
        <v>-1354211</v>
      </c>
      <c r="F63" s="57"/>
    </row>
    <row r="64" spans="1:6" s="58" customFormat="1" x14ac:dyDescent="0.2">
      <c r="A64" s="68" t="s">
        <v>151</v>
      </c>
      <c r="B64" s="23">
        <v>-10000</v>
      </c>
      <c r="C64" s="23"/>
      <c r="D64" s="23"/>
      <c r="E64" s="23">
        <f t="shared" si="0"/>
        <v>-10000</v>
      </c>
      <c r="F64" s="57"/>
    </row>
    <row r="65" spans="1:6" s="58" customFormat="1" x14ac:dyDescent="0.2">
      <c r="A65" s="68"/>
      <c r="B65" s="23"/>
      <c r="C65" s="23"/>
      <c r="D65" s="23"/>
      <c r="E65" s="23">
        <f t="shared" si="0"/>
        <v>0</v>
      </c>
      <c r="F65" s="57"/>
    </row>
    <row r="66" spans="1:6" s="58" customFormat="1" x14ac:dyDescent="0.2">
      <c r="A66" s="21" t="s">
        <v>152</v>
      </c>
      <c r="B66" s="22">
        <f>B67+B69</f>
        <v>377150</v>
      </c>
      <c r="C66" s="22">
        <f t="shared" ref="C66:D66" si="6">C67+C69</f>
        <v>0</v>
      </c>
      <c r="D66" s="22">
        <f t="shared" si="6"/>
        <v>18546</v>
      </c>
      <c r="E66" s="22">
        <f t="shared" si="0"/>
        <v>395696</v>
      </c>
      <c r="F66" s="57"/>
    </row>
    <row r="67" spans="1:6" s="58" customFormat="1" x14ac:dyDescent="0.2">
      <c r="A67" s="25" t="s">
        <v>561</v>
      </c>
      <c r="B67" s="26">
        <f>B68</f>
        <v>310000</v>
      </c>
      <c r="C67" s="26"/>
      <c r="D67" s="26"/>
      <c r="E67" s="26">
        <f t="shared" si="0"/>
        <v>310000</v>
      </c>
    </row>
    <row r="68" spans="1:6" s="58" customFormat="1" x14ac:dyDescent="0.2">
      <c r="A68" s="17" t="s">
        <v>156</v>
      </c>
      <c r="B68" s="24">
        <v>310000</v>
      </c>
      <c r="C68" s="24"/>
      <c r="D68" s="24"/>
      <c r="E68" s="24">
        <f t="shared" si="0"/>
        <v>310000</v>
      </c>
    </row>
    <row r="69" spans="1:6" s="58" customFormat="1" x14ac:dyDescent="0.2">
      <c r="A69" s="25" t="s">
        <v>179</v>
      </c>
      <c r="B69" s="26">
        <f>B70+B71</f>
        <v>67150</v>
      </c>
      <c r="C69" s="26"/>
      <c r="D69" s="26">
        <f>SUM(D70:D75)</f>
        <v>18546</v>
      </c>
      <c r="E69" s="26">
        <f t="shared" si="0"/>
        <v>85696</v>
      </c>
    </row>
    <row r="70" spans="1:6" s="58" customFormat="1" x14ac:dyDescent="0.2">
      <c r="A70" s="17" t="s">
        <v>156</v>
      </c>
      <c r="B70" s="24">
        <v>46150</v>
      </c>
      <c r="C70" s="24"/>
      <c r="D70" s="24"/>
      <c r="E70" s="24">
        <f t="shared" ref="E70:E80" si="7">SUM(B70:D70)</f>
        <v>46150</v>
      </c>
    </row>
    <row r="71" spans="1:6" s="58" customFormat="1" x14ac:dyDescent="0.2">
      <c r="A71" s="17" t="s">
        <v>167</v>
      </c>
      <c r="B71" s="24">
        <v>21000</v>
      </c>
      <c r="C71" s="24"/>
      <c r="D71" s="24"/>
      <c r="E71" s="24">
        <f t="shared" si="7"/>
        <v>21000</v>
      </c>
    </row>
    <row r="72" spans="1:6" s="58" customFormat="1" x14ac:dyDescent="0.2">
      <c r="A72" s="17" t="s">
        <v>192</v>
      </c>
      <c r="B72" s="24"/>
      <c r="C72" s="24"/>
      <c r="D72" s="24">
        <v>291</v>
      </c>
      <c r="E72" s="24">
        <f t="shared" si="7"/>
        <v>291</v>
      </c>
    </row>
    <row r="73" spans="1:6" s="58" customFormat="1" x14ac:dyDescent="0.2">
      <c r="A73" s="17" t="s">
        <v>782</v>
      </c>
      <c r="B73" s="24"/>
      <c r="C73" s="24"/>
      <c r="D73" s="24">
        <v>1126</v>
      </c>
      <c r="E73" s="24">
        <f t="shared" si="7"/>
        <v>1126</v>
      </c>
    </row>
    <row r="74" spans="1:6" s="58" customFormat="1" x14ac:dyDescent="0.2">
      <c r="A74" s="17" t="s">
        <v>783</v>
      </c>
      <c r="B74" s="24"/>
      <c r="C74" s="24"/>
      <c r="D74" s="24">
        <v>15759</v>
      </c>
      <c r="E74" s="24">
        <f t="shared" si="7"/>
        <v>15759</v>
      </c>
    </row>
    <row r="75" spans="1:6" s="58" customFormat="1" x14ac:dyDescent="0.2">
      <c r="A75" s="17" t="s">
        <v>784</v>
      </c>
      <c r="B75" s="24"/>
      <c r="C75" s="24"/>
      <c r="D75" s="24">
        <v>1370</v>
      </c>
      <c r="E75" s="24">
        <f t="shared" si="7"/>
        <v>1370</v>
      </c>
    </row>
    <row r="76" spans="1:6" x14ac:dyDescent="0.2">
      <c r="A76" s="25"/>
      <c r="B76" s="58"/>
      <c r="C76" s="58"/>
      <c r="D76" s="58"/>
      <c r="E76" s="58">
        <f t="shared" si="7"/>
        <v>0</v>
      </c>
      <c r="F76" s="58"/>
    </row>
    <row r="77" spans="1:6" x14ac:dyDescent="0.2">
      <c r="A77" s="21" t="s">
        <v>153</v>
      </c>
      <c r="B77" s="22">
        <f>B78</f>
        <v>6850000</v>
      </c>
      <c r="C77" s="22">
        <f>C78</f>
        <v>1645817</v>
      </c>
      <c r="D77" s="22"/>
      <c r="E77" s="22">
        <f t="shared" si="7"/>
        <v>8495817</v>
      </c>
      <c r="F77" s="58"/>
    </row>
    <row r="78" spans="1:6" x14ac:dyDescent="0.2">
      <c r="A78" s="17" t="s">
        <v>167</v>
      </c>
      <c r="B78" s="24">
        <v>6850000</v>
      </c>
      <c r="C78" s="24">
        <v>1645817</v>
      </c>
      <c r="D78" s="24"/>
      <c r="E78" s="24">
        <v>8495817</v>
      </c>
      <c r="F78" s="58"/>
    </row>
    <row r="79" spans="1:6" ht="12.75" customHeight="1" x14ac:dyDescent="0.2">
      <c r="A79" s="27"/>
      <c r="B79" s="58"/>
      <c r="C79" s="58"/>
      <c r="D79" s="58"/>
      <c r="E79" s="58">
        <f t="shared" si="7"/>
        <v>0</v>
      </c>
    </row>
    <row r="80" spans="1:6" ht="12.75" customHeight="1" x14ac:dyDescent="0.2">
      <c r="A80" s="21" t="s">
        <v>144</v>
      </c>
      <c r="B80" s="7">
        <f>B5+B12+B22+B27+B34+B53+B57+B66+B77</f>
        <v>352133311</v>
      </c>
      <c r="C80" s="7">
        <f>C5+C12+C22+C27+C34+C53+C57+C66+C77</f>
        <v>8168413</v>
      </c>
      <c r="D80" s="7">
        <f>D5+D12+D22+D27+D34+D53+D57+D66+D77</f>
        <v>3286288</v>
      </c>
      <c r="E80" s="7">
        <f t="shared" si="7"/>
        <v>363588012</v>
      </c>
    </row>
    <row r="81" spans="2:5" ht="12.75" customHeight="1" x14ac:dyDescent="0.2">
      <c r="B81" s="65"/>
      <c r="E81" s="65"/>
    </row>
    <row r="82" spans="2:5" x14ac:dyDescent="0.2">
      <c r="B82" s="65"/>
      <c r="E82" s="65"/>
    </row>
    <row r="83" spans="2:5" x14ac:dyDescent="0.2">
      <c r="B83" s="65"/>
      <c r="E83" s="65"/>
    </row>
  </sheetData>
  <mergeCells count="1">
    <mergeCell ref="B3:E3"/>
  </mergeCells>
  <phoneticPr fontId="29" type="noConversion"/>
  <pageMargins left="1.1811023622047245" right="0.47244094488188981" top="0.47244094488188981" bottom="0.98425196850393704" header="0.51181102362204722" footer="0.51181102362204722"/>
  <pageSetup paperSize="9" scale="75" orientation="portrait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31"/>
  <sheetViews>
    <sheetView workbookViewId="0">
      <selection activeCell="D26" sqref="D26"/>
    </sheetView>
  </sheetViews>
  <sheetFormatPr defaultColWidth="9.140625" defaultRowHeight="12.75" x14ac:dyDescent="0.2"/>
  <cols>
    <col min="1" max="1" width="40" style="14" bestFit="1" customWidth="1"/>
    <col min="2" max="2" width="10.7109375" style="14" customWidth="1"/>
    <col min="3" max="4" width="9.140625" style="14" customWidth="1"/>
    <col min="5" max="5" width="10.140625" style="14" customWidth="1"/>
    <col min="6" max="6" width="10.140625" style="14" bestFit="1" customWidth="1"/>
    <col min="7" max="7" width="9.140625" style="14" customWidth="1"/>
    <col min="8" max="16384" width="9.140625" style="14"/>
  </cols>
  <sheetData>
    <row r="1" spans="1:7" x14ac:dyDescent="0.2">
      <c r="A1" s="355" t="s">
        <v>142</v>
      </c>
      <c r="B1" s="356">
        <f ca="1">SUM(B2:B11)</f>
        <v>41865819</v>
      </c>
      <c r="C1" s="356">
        <f t="shared" ref="C1:G1" ca="1" si="0">SUM(C2:C11)</f>
        <v>540749</v>
      </c>
      <c r="D1" s="356">
        <f t="shared" ref="D1" ca="1" si="1">SUM(D2:D11)</f>
        <v>1355158</v>
      </c>
      <c r="E1" s="356">
        <f t="shared" ca="1" si="0"/>
        <v>43761726</v>
      </c>
      <c r="F1" s="356" t="e">
        <f t="shared" si="0"/>
        <v>#REF!</v>
      </c>
      <c r="G1" s="11" t="e">
        <f t="shared" si="0"/>
        <v>#REF!</v>
      </c>
    </row>
    <row r="2" spans="1:7" x14ac:dyDescent="0.2">
      <c r="A2" s="8" t="s">
        <v>308</v>
      </c>
      <c r="B2" s="11">
        <f ca="1">SUMIF('2.2 OMATULUD'!$A$5:B$808,$A2,'2.2 OMATULUD'!B$5:B$808)</f>
        <v>23613614</v>
      </c>
      <c r="C2" s="11">
        <f ca="1">SUMIF('2.2 OMATULUD'!$A$5:C$808,$A2,'2.2 OMATULUD'!C$5:C$808)</f>
        <v>105304</v>
      </c>
      <c r="D2" s="11">
        <f ca="1">SUMIF('2.2 OMATULUD'!$A$5:D$808,$A2,'2.2 OMATULUD'!D$5:D$808)</f>
        <v>259406</v>
      </c>
      <c r="E2" s="11">
        <f ca="1">SUMIF('2.2 OMATULUD'!$A$5:E$808,$A2,'2.2 OMATULUD'!E$5:E$808)</f>
        <v>23978324</v>
      </c>
      <c r="F2" s="11" t="e">
        <f>SUMIF('2.2 OMATULUD'!$A$5:E$808,$A2,'2.2 OMATULUD'!#REF!)</f>
        <v>#REF!</v>
      </c>
      <c r="G2" s="11" t="e">
        <f>SUMIF('2.2 OMATULUD'!$A$5:E$808,$A2,'2.2 OMATULUD'!#REF!)</f>
        <v>#REF!</v>
      </c>
    </row>
    <row r="3" spans="1:7" x14ac:dyDescent="0.2">
      <c r="A3" s="8" t="s">
        <v>342</v>
      </c>
      <c r="B3" s="11">
        <f ca="1">SUMIF('2.2 OMATULUD'!$A$5:B$808,$A3,'2.2 OMATULUD'!B$5:B$808)</f>
        <v>4011709</v>
      </c>
      <c r="C3" s="11">
        <f ca="1">SUMIF('2.2 OMATULUD'!$A$5:C$808,$A3,'2.2 OMATULUD'!C$5:C$808)</f>
        <v>-6100</v>
      </c>
      <c r="D3" s="11">
        <f ca="1">SUMIF('2.2 OMATULUD'!$A$5:D$808,$A3,'2.2 OMATULUD'!D$5:D$808)</f>
        <v>-56862</v>
      </c>
      <c r="E3" s="11">
        <f ca="1">SUMIF('2.2 OMATULUD'!$A$5:E$808,$A3,'2.2 OMATULUD'!E$5:E$808)</f>
        <v>3948747</v>
      </c>
      <c r="F3" s="11" t="e">
        <f>SUMIF('2.2 OMATULUD'!$A$5:E$808,$A3,'2.2 OMATULUD'!#REF!)</f>
        <v>#REF!</v>
      </c>
      <c r="G3" s="11" t="e">
        <f>SUMIF('2.2 OMATULUD'!$A$5:E$808,$A3,'2.2 OMATULUD'!#REF!)</f>
        <v>#REF!</v>
      </c>
    </row>
    <row r="4" spans="1:7" x14ac:dyDescent="0.2">
      <c r="A4" s="8" t="s">
        <v>310</v>
      </c>
      <c r="B4" s="11">
        <f ca="1">SUMIF('2.2 OMATULUD'!$A$5:B$808,$A4,'2.2 OMATULUD'!B$5:B$808)</f>
        <v>4606643</v>
      </c>
      <c r="C4" s="11">
        <f ca="1">SUMIF('2.2 OMATULUD'!$A$5:C$808,$A4,'2.2 OMATULUD'!C$5:C$808)</f>
        <v>225813</v>
      </c>
      <c r="D4" s="11">
        <f ca="1">SUMIF('2.2 OMATULUD'!$A$5:D$808,$A4,'2.2 OMATULUD'!D$5:D$808)</f>
        <v>474681</v>
      </c>
      <c r="E4" s="11">
        <f ca="1">SUMIF('2.2 OMATULUD'!$A$5:E$808,$A4,'2.2 OMATULUD'!E$5:E$808)</f>
        <v>5307137</v>
      </c>
      <c r="F4" s="11" t="e">
        <f>SUMIF('2.2 OMATULUD'!$A$5:E$808,$A4,'2.2 OMATULUD'!#REF!)</f>
        <v>#REF!</v>
      </c>
      <c r="G4" s="11" t="e">
        <f>SUMIF('2.2 OMATULUD'!$A$5:E$808,$A4,'2.2 OMATULUD'!#REF!)</f>
        <v>#REF!</v>
      </c>
    </row>
    <row r="5" spans="1:7" x14ac:dyDescent="0.2">
      <c r="A5" s="8" t="s">
        <v>380</v>
      </c>
      <c r="B5" s="11">
        <f ca="1">SUMIF('2.2 OMATULUD'!$A$5:B$808,$A5,'2.2 OMATULUD'!B$5:B$808)</f>
        <v>1101600</v>
      </c>
      <c r="C5" s="11">
        <f ca="1">SUMIF('2.2 OMATULUD'!$A$5:C$808,$A5,'2.2 OMATULUD'!C$5:C$808)</f>
        <v>0</v>
      </c>
      <c r="D5" s="11">
        <f ca="1">SUMIF('2.2 OMATULUD'!$A$5:D$808,$A5,'2.2 OMATULUD'!D$5:D$808)</f>
        <v>450800</v>
      </c>
      <c r="E5" s="11">
        <f ca="1">SUMIF('2.2 OMATULUD'!$A$5:E$808,$A5,'2.2 OMATULUD'!E$5:E$808)</f>
        <v>1552400</v>
      </c>
      <c r="F5" s="11" t="e">
        <f>SUMIF('2.2 OMATULUD'!$A$5:E$808,$A5,'2.2 OMATULUD'!#REF!)</f>
        <v>#REF!</v>
      </c>
      <c r="G5" s="11" t="e">
        <f>SUMIF('2.2 OMATULUD'!$A$5:E$808,$A5,'2.2 OMATULUD'!#REF!)</f>
        <v>#REF!</v>
      </c>
    </row>
    <row r="6" spans="1:7" x14ac:dyDescent="0.2">
      <c r="A6" s="8" t="s">
        <v>346</v>
      </c>
      <c r="B6" s="11">
        <f ca="1">SUMIF('2.2 OMATULUD'!$A$5:B$808,$A6,'2.2 OMATULUD'!B$5:B$808)</f>
        <v>0</v>
      </c>
      <c r="C6" s="11">
        <f ca="1">SUMIF('2.2 OMATULUD'!$A$5:C$808,$A6,'2.2 OMATULUD'!C$5:C$808)</f>
        <v>0</v>
      </c>
      <c r="D6" s="11">
        <f ca="1">SUMIF('2.2 OMATULUD'!$A$5:D$808,$A6,'2.2 OMATULUD'!D$5:D$808)</f>
        <v>46</v>
      </c>
      <c r="E6" s="11">
        <f ca="1">SUMIF('2.2 OMATULUD'!$A$5:E$808,$A6,'2.2 OMATULUD'!E$5:E$808)</f>
        <v>46</v>
      </c>
      <c r="F6" s="11" t="e">
        <f>SUMIF('2.2 OMATULUD'!$A$5:E$808,$A6,'2.2 OMATULUD'!#REF!)</f>
        <v>#REF!</v>
      </c>
      <c r="G6" s="11" t="e">
        <f>SUMIF('2.2 OMATULUD'!$A$5:E$808,$A6,'2.2 OMATULUD'!#REF!)</f>
        <v>#REF!</v>
      </c>
    </row>
    <row r="7" spans="1:7" x14ac:dyDescent="0.2">
      <c r="A7" s="8" t="s">
        <v>348</v>
      </c>
      <c r="B7" s="11">
        <f ca="1">SUMIF('2.2 OMATULUD'!$A$5:B$808,$A7,'2.2 OMATULUD'!B$5:B$808)</f>
        <v>2368963</v>
      </c>
      <c r="C7" s="11">
        <f ca="1">SUMIF('2.2 OMATULUD'!$A$5:C$808,$A7,'2.2 OMATULUD'!C$5:C$808)</f>
        <v>34825</v>
      </c>
      <c r="D7" s="11">
        <f ca="1">SUMIF('2.2 OMATULUD'!$A$5:D$808,$A7,'2.2 OMATULUD'!D$5:D$808)</f>
        <v>64851</v>
      </c>
      <c r="E7" s="11">
        <f ca="1">SUMIF('2.2 OMATULUD'!$A$5:E$808,$A7,'2.2 OMATULUD'!E$5:E$808)</f>
        <v>2468639</v>
      </c>
      <c r="F7" s="11" t="e">
        <f>SUMIF('2.2 OMATULUD'!$A$5:E$808,$A7,'2.2 OMATULUD'!#REF!)</f>
        <v>#REF!</v>
      </c>
      <c r="G7" s="11" t="e">
        <f>SUMIF('2.2 OMATULUD'!$A$5:E$808,$A7,'2.2 OMATULUD'!#REF!)</f>
        <v>#REF!</v>
      </c>
    </row>
    <row r="8" spans="1:7" x14ac:dyDescent="0.2">
      <c r="A8" s="8" t="s">
        <v>311</v>
      </c>
      <c r="B8" s="11">
        <f ca="1">SUMIF('2.2 OMATULUD'!$A$5:B$808,$A8,'2.2 OMATULUD'!B$5:B$808)</f>
        <v>4544223</v>
      </c>
      <c r="C8" s="11">
        <f ca="1">SUMIF('2.2 OMATULUD'!$A$5:C$808,$A8,'2.2 OMATULUD'!C$5:C$808)</f>
        <v>166907</v>
      </c>
      <c r="D8" s="11">
        <f ca="1">SUMIF('2.2 OMATULUD'!$A$5:D$808,$A8,'2.2 OMATULUD'!D$5:D$808)</f>
        <v>148726</v>
      </c>
      <c r="E8" s="11">
        <f ca="1">SUMIF('2.2 OMATULUD'!$A$5:E$808,$A8,'2.2 OMATULUD'!E$5:E$808)</f>
        <v>4859856</v>
      </c>
      <c r="F8" s="11" t="e">
        <f>SUMIF('2.2 OMATULUD'!$A$5:E$808,$A8,'2.2 OMATULUD'!#REF!)</f>
        <v>#REF!</v>
      </c>
      <c r="G8" s="11" t="e">
        <f>SUMIF('2.2 OMATULUD'!$A$5:E$808,$A8,'2.2 OMATULUD'!#REF!)</f>
        <v>#REF!</v>
      </c>
    </row>
    <row r="9" spans="1:7" x14ac:dyDescent="0.2">
      <c r="A9" s="8" t="s">
        <v>360</v>
      </c>
      <c r="B9" s="11">
        <f ca="1">SUMIF('2.2 OMATULUD'!$A$5:B$808,$A9,'2.2 OMATULUD'!B$5:B$808)</f>
        <v>204500</v>
      </c>
      <c r="C9" s="11">
        <f ca="1">SUMIF('2.2 OMATULUD'!$A$5:C$808,$A9,'2.2 OMATULUD'!C$5:C$808)</f>
        <v>14000</v>
      </c>
      <c r="D9" s="11">
        <f ca="1">SUMIF('2.2 OMATULUD'!$A$5:D$808,$A9,'2.2 OMATULUD'!D$5:D$808)</f>
        <v>1230</v>
      </c>
      <c r="E9" s="11">
        <f ca="1">SUMIF('2.2 OMATULUD'!$A$5:E$808,$A9,'2.2 OMATULUD'!E$5:E$808)</f>
        <v>219730</v>
      </c>
      <c r="F9" s="11" t="e">
        <f>SUMIF('2.2 OMATULUD'!$A$5:E$808,$A9,'2.2 OMATULUD'!#REF!)</f>
        <v>#REF!</v>
      </c>
      <c r="G9" s="11" t="e">
        <f>SUMIF('2.2 OMATULUD'!$A$5:E$808,$A9,'2.2 OMATULUD'!#REF!)</f>
        <v>#REF!</v>
      </c>
    </row>
    <row r="10" spans="1:7" x14ac:dyDescent="0.2">
      <c r="A10" s="8" t="s">
        <v>303</v>
      </c>
      <c r="B10" s="11">
        <f ca="1">SUMIF('2.2 OMATULUD'!$A$5:B$808,$A10,'2.2 OMATULUD'!B$5:B$808)</f>
        <v>195297</v>
      </c>
      <c r="C10" s="11">
        <f ca="1">SUMIF('2.2 OMATULUD'!$A$5:C$808,$A10,'2.2 OMATULUD'!C$5:C$808)</f>
        <v>0</v>
      </c>
      <c r="D10" s="11">
        <f ca="1">SUMIF('2.2 OMATULUD'!$A$5:D$808,$A10,'2.2 OMATULUD'!D$5:D$808)</f>
        <v>18680</v>
      </c>
      <c r="E10" s="11">
        <f ca="1">SUMIF('2.2 OMATULUD'!$A$5:E$808,$A10,'2.2 OMATULUD'!E$5:E$808)</f>
        <v>213977</v>
      </c>
      <c r="F10" s="11" t="e">
        <f>SUMIF('2.2 OMATULUD'!$A$5:E$808,$A10,'2.2 OMATULUD'!#REF!)</f>
        <v>#REF!</v>
      </c>
      <c r="G10" s="11" t="e">
        <f>SUMIF('2.2 OMATULUD'!$A$5:E$808,$A10,'2.2 OMATULUD'!#REF!)</f>
        <v>#REF!</v>
      </c>
    </row>
    <row r="11" spans="1:7" x14ac:dyDescent="0.2">
      <c r="A11" s="9" t="s">
        <v>369</v>
      </c>
      <c r="B11" s="11">
        <f ca="1">SUMIF('2.2 OMATULUD'!$A$5:B$808,$A11,'2.2 OMATULUD'!B$5:B$808)</f>
        <v>1219270</v>
      </c>
      <c r="C11" s="11">
        <f ca="1">SUMIF('2.2 OMATULUD'!$A$5:C$808,$A11,'2.2 OMATULUD'!C$5:C$808)</f>
        <v>0</v>
      </c>
      <c r="D11" s="11">
        <f ca="1">SUMIF('2.2 OMATULUD'!$A$5:D$808,$A11,'2.2 OMATULUD'!D$5:D$808)</f>
        <v>-6400</v>
      </c>
      <c r="E11" s="11">
        <f ca="1">SUMIF('2.2 OMATULUD'!$A$5:E$808,$A11,'2.2 OMATULUD'!E$5:E$808)</f>
        <v>1212870</v>
      </c>
      <c r="F11" s="11" t="e">
        <f>SUMIF('2.2 OMATULUD'!$A$5:E$808,$A11,'2.2 OMATULUD'!#REF!)</f>
        <v>#REF!</v>
      </c>
      <c r="G11" s="11" t="e">
        <f>SUMIF('2.2 OMATULUD'!$A$5:E$808,$A11,'2.2 OMATULUD'!#REF!)</f>
        <v>#REF!</v>
      </c>
    </row>
    <row r="12" spans="1:7" x14ac:dyDescent="0.2">
      <c r="A12" s="355" t="s">
        <v>333</v>
      </c>
      <c r="B12" s="356">
        <f ca="1">SUMIF('2.2 OMATULUD'!$A$5:B$808,$A12,'2.2 OMATULUD'!B$5:B$808)</f>
        <v>185000</v>
      </c>
      <c r="C12" s="356">
        <f ca="1">SUMIF('2.2 OMATULUD'!$A$5:C$808,$A12,'2.2 OMATULUD'!C$5:C$808)</f>
        <v>0</v>
      </c>
      <c r="D12" s="356">
        <f ca="1">SUMIF('2.2 OMATULUD'!$A$5:D$808,$A12,'2.2 OMATULUD'!D$5:D$808)</f>
        <v>0</v>
      </c>
      <c r="E12" s="356">
        <f ca="1">SUMIF('2.2 OMATULUD'!$A$5:E$808,$A12,'2.2 OMATULUD'!E$5:E$808)</f>
        <v>185000</v>
      </c>
      <c r="F12" s="356" t="e">
        <f>SUMIF('2.2 OMATULUD'!$A$5:E$808,$A12,'2.2 OMATULUD'!#REF!)</f>
        <v>#REF!</v>
      </c>
      <c r="G12" s="11" t="e">
        <f>SUMIF('2.2 OMATULUD'!$A$5:E$808,$A12,'2.2 OMATULUD'!#REF!)</f>
        <v>#REF!</v>
      </c>
    </row>
    <row r="13" spans="1:7" x14ac:dyDescent="0.2">
      <c r="A13" s="355" t="s">
        <v>299</v>
      </c>
      <c r="B13" s="356">
        <f ca="1">SUMIF('2.2 OMATULUD'!$A$5:B$808,$A13,'2.2 OMATULUD'!B$5:B$808)</f>
        <v>3445314</v>
      </c>
      <c r="C13" s="356">
        <f ca="1">SUMIF('2.2 OMATULUD'!$A$5:C$808,$A13,'2.2 OMATULUD'!C$5:C$808)</f>
        <v>62875</v>
      </c>
      <c r="D13" s="356">
        <f ca="1">SUMIF('2.2 OMATULUD'!$A$5:D$808,$A13,'2.2 OMATULUD'!D$5:D$808)</f>
        <v>-17057</v>
      </c>
      <c r="E13" s="356">
        <f ca="1">SUMIF('2.2 OMATULUD'!$A$5:E$808,$A13,'2.2 OMATULUD'!E$5:E$808)</f>
        <v>3491132</v>
      </c>
      <c r="F13" s="356" t="e">
        <f>SUMIF('2.2 OMATULUD'!$A$5:E$808,$A13,'2.2 OMATULUD'!#REF!)</f>
        <v>#REF!</v>
      </c>
      <c r="G13" s="11" t="e">
        <f>SUMIF('2.2 OMATULUD'!$A$5:E$808,$A13,'2.2 OMATULUD'!#REF!)</f>
        <v>#REF!</v>
      </c>
    </row>
    <row r="14" spans="1:7" x14ac:dyDescent="0.2">
      <c r="A14" s="355" t="s">
        <v>337</v>
      </c>
      <c r="B14" s="356">
        <f ca="1">SUMIF('2.2 OMATULUD'!$A$5:B$808,$A14,'2.2 OMATULUD'!B$5:B$808)</f>
        <v>2311210</v>
      </c>
      <c r="C14" s="356">
        <f ca="1">SUMIF('2.2 OMATULUD'!$A$5:C$808,$A14,'2.2 OMATULUD'!C$5:C$808)</f>
        <v>201935</v>
      </c>
      <c r="D14" s="356">
        <f ca="1">SUMIF('2.2 OMATULUD'!$A$5:D$808,$A14,'2.2 OMATULUD'!D$5:D$808)</f>
        <v>68429</v>
      </c>
      <c r="E14" s="356">
        <f ca="1">SUMIF('2.2 OMATULUD'!$A$5:E$808,$A14,'2.2 OMATULUD'!E$5:E$808)</f>
        <v>2581574</v>
      </c>
      <c r="F14" s="356" t="e">
        <f>SUMIF('2.2 OMATULUD'!$A$5:E$808,$A14,'2.2 OMATULUD'!#REF!)</f>
        <v>#REF!</v>
      </c>
      <c r="G14" s="11" t="e">
        <f>SUMIF('2.2 OMATULUD'!$A$5:E$808,$A14,'2.2 OMATULUD'!#REF!)</f>
        <v>#REF!</v>
      </c>
    </row>
    <row r="15" spans="1:7" x14ac:dyDescent="0.2">
      <c r="A15" s="355" t="s">
        <v>295</v>
      </c>
      <c r="B15" s="356">
        <f ca="1">SUMIF('2.2 OMATULUD'!$A$5:B$808,$A15,'2.2 OMATULUD'!B$5:B$808)</f>
        <v>8178985</v>
      </c>
      <c r="C15" s="356">
        <f ca="1">SUMIF('2.2 OMATULUD'!$A$5:C$808,$A15,'2.2 OMATULUD'!C$5:C$808)</f>
        <v>70877</v>
      </c>
      <c r="D15" s="356">
        <f ca="1">SUMIF('2.2 OMATULUD'!$A$5:D$808,$A15,'2.2 OMATULUD'!D$5:D$808)</f>
        <v>-65954</v>
      </c>
      <c r="E15" s="356">
        <f ca="1">SUMIF('2.2 OMATULUD'!$A$5:E$808,$A15,'2.2 OMATULUD'!E$5:E$808)</f>
        <v>8183908</v>
      </c>
      <c r="F15" s="356" t="e">
        <f>SUMIF('2.2 OMATULUD'!$A$5:E$808,$A15,'2.2 OMATULUD'!#REF!)</f>
        <v>#REF!</v>
      </c>
      <c r="G15" s="11" t="e">
        <f>SUMIF('2.2 OMATULUD'!$A$5:E$808,$A15,'2.2 OMATULUD'!#REF!)</f>
        <v>#REF!</v>
      </c>
    </row>
    <row r="16" spans="1:7" x14ac:dyDescent="0.2">
      <c r="A16" s="357" t="s">
        <v>143</v>
      </c>
      <c r="B16" s="356">
        <f ca="1">SUMIF('2.2 OMATULUD'!$A$5:B$808,$A16,'2.2 OMATULUD'!B$5:B$808)</f>
        <v>0</v>
      </c>
      <c r="C16" s="356">
        <f ca="1">SUMIF('2.2 OMATULUD'!$A$5:C$808,$A16,'2.2 OMATULUD'!C$5:C$808)</f>
        <v>0</v>
      </c>
      <c r="D16" s="356">
        <f ca="1">SUMIF('2.2 OMATULUD'!$A$5:D$808,$A16,'2.2 OMATULUD'!D$5:D$808)</f>
        <v>0</v>
      </c>
      <c r="E16" s="356">
        <f ca="1">SUMIF('2.2 OMATULUD'!$A$5:E$808,$A16,'2.2 OMATULUD'!E$5:E$808)</f>
        <v>0</v>
      </c>
      <c r="F16" s="356" t="e">
        <f>SUMIF('2.2 OMATULUD'!$A$5:E$808,$A16,'2.2 OMATULUD'!#REF!)</f>
        <v>#REF!</v>
      </c>
      <c r="G16" s="11" t="e">
        <f>SUMIF('2.2 OMATULUD'!$A$5:E$808,$A16,'2.2 OMATULUD'!#REF!)</f>
        <v>#REF!</v>
      </c>
    </row>
    <row r="17" spans="1:7" x14ac:dyDescent="0.2">
      <c r="A17" s="358" t="s">
        <v>622</v>
      </c>
      <c r="B17" s="356">
        <f ca="1">SUMIF('2.2 OMATULUD'!$A$5:B$808,$A17,'2.2 OMATULUD'!B$5:B$808)</f>
        <v>-170000</v>
      </c>
      <c r="C17" s="356">
        <f ca="1">SUMIF('2.2 OMATULUD'!$A$5:C$808,$A17,'2.2 OMATULUD'!C$5:C$808)</f>
        <v>0</v>
      </c>
      <c r="D17" s="356">
        <f ca="1">SUMIF('2.2 OMATULUD'!$A$5:D$808,$A17,'2.2 OMATULUD'!D$5:D$808)</f>
        <v>-100000</v>
      </c>
      <c r="E17" s="356">
        <f ca="1">SUMIF('2.2 OMATULUD'!$A$5:E$808,$A17,'2.2 OMATULUD'!E$5:E$808)</f>
        <v>-270000</v>
      </c>
      <c r="F17" s="356" t="e">
        <f>SUMIF('2.2 OMATULUD'!$A$5:E$808,$A17,'2.2 OMATULUD'!#REF!)</f>
        <v>#REF!</v>
      </c>
      <c r="G17" s="11" t="e">
        <f>SUMIF('2.2 OMATULUD'!$A$5:E$808,$A17,'2.2 OMATULUD'!#REF!)</f>
        <v>#REF!</v>
      </c>
    </row>
    <row r="18" spans="1:7" x14ac:dyDescent="0.2">
      <c r="A18" s="3" t="s">
        <v>144</v>
      </c>
      <c r="B18" s="12">
        <f ca="1">B12+B13+B14+B15+B1+B17</f>
        <v>55816328</v>
      </c>
      <c r="C18" s="12">
        <f t="shared" ref="C18:G18" ca="1" si="2">C12+C13+C14+C15+C1+C17</f>
        <v>876436</v>
      </c>
      <c r="D18" s="12">
        <f t="shared" ref="D18" ca="1" si="3">D12+D13+D14+D15+D1+D17</f>
        <v>1240576</v>
      </c>
      <c r="E18" s="12">
        <f t="shared" ca="1" si="2"/>
        <v>57933340</v>
      </c>
      <c r="F18" s="12" t="e">
        <f t="shared" si="2"/>
        <v>#REF!</v>
      </c>
      <c r="G18" s="12" t="e">
        <f t="shared" si="2"/>
        <v>#REF!</v>
      </c>
    </row>
    <row r="19" spans="1:7" x14ac:dyDescent="0.2">
      <c r="A19" s="6"/>
      <c r="B19" s="62">
        <f>'2.2 OMATULUD'!B808</f>
        <v>55816328</v>
      </c>
      <c r="C19" s="62">
        <f>'2.2 OMATULUD'!C808</f>
        <v>876436</v>
      </c>
      <c r="D19" s="62">
        <f>'2.2 OMATULUD'!D808</f>
        <v>1240576</v>
      </c>
      <c r="E19" s="62">
        <f>'2.2 OMATULUD'!E808</f>
        <v>57933340</v>
      </c>
      <c r="F19" s="62" t="e">
        <f>'2.2 OMATULUD'!#REF!</f>
        <v>#REF!</v>
      </c>
      <c r="G19" s="62" t="e">
        <f>'2.2 OMATULUD'!#REF!</f>
        <v>#REF!</v>
      </c>
    </row>
    <row r="20" spans="1:7" x14ac:dyDescent="0.2">
      <c r="B20" s="39">
        <f ca="1">B18-B19</f>
        <v>0</v>
      </c>
      <c r="C20" s="39">
        <f t="shared" ref="C20:G20" ca="1" si="4">C18-C19</f>
        <v>0</v>
      </c>
      <c r="D20" s="39">
        <f t="shared" ref="D20" ca="1" si="5">D18-D19</f>
        <v>0</v>
      </c>
      <c r="E20" s="39">
        <f t="shared" ca="1" si="4"/>
        <v>0</v>
      </c>
      <c r="F20" s="39" t="e">
        <f t="shared" si="4"/>
        <v>#REF!</v>
      </c>
      <c r="G20" s="39" t="e">
        <f t="shared" si="4"/>
        <v>#REF!</v>
      </c>
    </row>
    <row r="21" spans="1:7" x14ac:dyDescent="0.2">
      <c r="A21" s="6"/>
      <c r="B21" s="6"/>
      <c r="C21" s="6"/>
      <c r="D21" s="6"/>
      <c r="E21" s="6"/>
    </row>
    <row r="23" spans="1:7" x14ac:dyDescent="0.2">
      <c r="A23" s="261"/>
      <c r="B23" s="262"/>
    </row>
    <row r="24" spans="1:7" x14ac:dyDescent="0.2">
      <c r="A24" s="69"/>
      <c r="B24" s="39"/>
    </row>
    <row r="25" spans="1:7" x14ac:dyDescent="0.2">
      <c r="A25" s="69"/>
      <c r="B25" s="39"/>
    </row>
    <row r="29" spans="1:7" x14ac:dyDescent="0.2">
      <c r="A29" s="261"/>
      <c r="B29" s="262"/>
    </row>
    <row r="30" spans="1:7" x14ac:dyDescent="0.2">
      <c r="A30" s="259"/>
      <c r="B30" s="39"/>
    </row>
    <row r="31" spans="1:7" x14ac:dyDescent="0.2">
      <c r="A31" s="260"/>
      <c r="B31" s="39"/>
    </row>
  </sheetData>
  <phoneticPr fontId="29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50"/>
  </sheetPr>
  <dimension ref="A1:I836"/>
  <sheetViews>
    <sheetView showZeros="0" zoomScaleNormal="100" workbookViewId="0">
      <pane ySplit="4" topLeftCell="A5" activePane="bottomLeft" state="frozen"/>
      <selection activeCell="F136" sqref="F136"/>
      <selection pane="bottomLeft"/>
    </sheetView>
  </sheetViews>
  <sheetFormatPr defaultColWidth="9.140625" defaultRowHeight="12.75" x14ac:dyDescent="0.2"/>
  <cols>
    <col min="1" max="1" width="41" style="25" customWidth="1"/>
    <col min="2" max="2" width="10.7109375" style="238" customWidth="1"/>
    <col min="3" max="3" width="10.140625" style="60" hidden="1" customWidth="1"/>
    <col min="4" max="4" width="12.42578125" style="60" hidden="1" customWidth="1"/>
    <col min="5" max="5" width="10.7109375" style="238" customWidth="1"/>
    <col min="6" max="16384" width="9.140625" style="60"/>
  </cols>
  <sheetData>
    <row r="1" spans="1:5" ht="15" x14ac:dyDescent="0.25">
      <c r="A1" s="1" t="s">
        <v>293</v>
      </c>
      <c r="B1" s="10"/>
      <c r="E1" s="10"/>
    </row>
    <row r="2" spans="1:5" ht="15" x14ac:dyDescent="0.25">
      <c r="A2" s="1"/>
      <c r="B2" s="10"/>
      <c r="E2" s="318" t="s">
        <v>145</v>
      </c>
    </row>
    <row r="3" spans="1:5" x14ac:dyDescent="0.2">
      <c r="B3" s="642">
        <v>2015</v>
      </c>
      <c r="C3" s="643"/>
      <c r="D3" s="643"/>
      <c r="E3" s="644"/>
    </row>
    <row r="4" spans="1:5" ht="38.25" customHeight="1" x14ac:dyDescent="0.2">
      <c r="B4" s="486" t="s">
        <v>674</v>
      </c>
      <c r="C4" s="483" t="s">
        <v>672</v>
      </c>
      <c r="D4" s="484" t="s">
        <v>844</v>
      </c>
      <c r="E4" s="487" t="s">
        <v>673</v>
      </c>
    </row>
    <row r="5" spans="1:5" s="214" customFormat="1" x14ac:dyDescent="0.2">
      <c r="A5" s="211" t="s">
        <v>294</v>
      </c>
      <c r="B5" s="213">
        <f>B6</f>
        <v>28586</v>
      </c>
      <c r="C5" s="213">
        <f>C6</f>
        <v>-1039</v>
      </c>
      <c r="D5" s="369"/>
      <c r="E5" s="213">
        <f>SUM(B5:D5)</f>
        <v>27547</v>
      </c>
    </row>
    <row r="6" spans="1:5" s="216" customFormat="1" x14ac:dyDescent="0.2">
      <c r="A6" s="210" t="s">
        <v>295</v>
      </c>
      <c r="B6" s="215">
        <f>B7+B8</f>
        <v>28586</v>
      </c>
      <c r="C6" s="215">
        <f>C7+C8</f>
        <v>-1039</v>
      </c>
      <c r="D6" s="370"/>
      <c r="E6" s="215">
        <f t="shared" ref="E6:E66" si="0">SUM(B6:D6)</f>
        <v>27547</v>
      </c>
    </row>
    <row r="7" spans="1:5" s="214" customFormat="1" x14ac:dyDescent="0.2">
      <c r="A7" s="208" t="s">
        <v>296</v>
      </c>
      <c r="B7" s="217">
        <v>21047</v>
      </c>
      <c r="C7" s="288"/>
      <c r="D7" s="369"/>
      <c r="E7" s="217">
        <f t="shared" si="0"/>
        <v>21047</v>
      </c>
    </row>
    <row r="8" spans="1:5" x14ac:dyDescent="0.2">
      <c r="A8" s="208" t="s">
        <v>297</v>
      </c>
      <c r="B8" s="217">
        <v>7539</v>
      </c>
      <c r="C8" s="223">
        <v>-1039</v>
      </c>
      <c r="D8" s="373"/>
      <c r="E8" s="217">
        <f t="shared" si="0"/>
        <v>6500</v>
      </c>
    </row>
    <row r="9" spans="1:5" s="214" customFormat="1" x14ac:dyDescent="0.2">
      <c r="A9" s="208"/>
      <c r="B9" s="217"/>
      <c r="C9" s="288"/>
      <c r="D9" s="369"/>
      <c r="E9" s="217">
        <f t="shared" si="0"/>
        <v>0</v>
      </c>
    </row>
    <row r="10" spans="1:5" x14ac:dyDescent="0.2">
      <c r="A10" s="211" t="s">
        <v>298</v>
      </c>
      <c r="B10" s="213">
        <f>B11+B14</f>
        <v>566497</v>
      </c>
      <c r="C10" s="223"/>
      <c r="D10" s="373"/>
      <c r="E10" s="213">
        <f t="shared" si="0"/>
        <v>566497</v>
      </c>
    </row>
    <row r="11" spans="1:5" s="214" customFormat="1" x14ac:dyDescent="0.2">
      <c r="A11" s="210" t="s">
        <v>299</v>
      </c>
      <c r="B11" s="215">
        <f>B12+B13</f>
        <v>139596</v>
      </c>
      <c r="C11" s="288"/>
      <c r="D11" s="369"/>
      <c r="E11" s="215">
        <f t="shared" si="0"/>
        <v>139596</v>
      </c>
    </row>
    <row r="12" spans="1:5" x14ac:dyDescent="0.2">
      <c r="A12" s="209" t="s">
        <v>300</v>
      </c>
      <c r="B12" s="218">
        <v>28400</v>
      </c>
      <c r="C12" s="223"/>
      <c r="D12" s="373"/>
      <c r="E12" s="218">
        <f t="shared" si="0"/>
        <v>28400</v>
      </c>
    </row>
    <row r="13" spans="1:5" ht="25.5" x14ac:dyDescent="0.2">
      <c r="A13" s="209" t="s">
        <v>301</v>
      </c>
      <c r="B13" s="218">
        <v>111196</v>
      </c>
      <c r="C13" s="223"/>
      <c r="D13" s="373"/>
      <c r="E13" s="218">
        <f t="shared" si="0"/>
        <v>111196</v>
      </c>
    </row>
    <row r="14" spans="1:5" x14ac:dyDescent="0.2">
      <c r="A14" s="210" t="s">
        <v>295</v>
      </c>
      <c r="B14" s="215">
        <f>B15+B16</f>
        <v>426901</v>
      </c>
      <c r="C14" s="223"/>
      <c r="D14" s="373"/>
      <c r="E14" s="215">
        <f t="shared" si="0"/>
        <v>426901</v>
      </c>
    </row>
    <row r="15" spans="1:5" s="216" customFormat="1" x14ac:dyDescent="0.2">
      <c r="A15" s="208" t="s">
        <v>296</v>
      </c>
      <c r="B15" s="217">
        <v>358237</v>
      </c>
      <c r="C15" s="289"/>
      <c r="D15" s="370"/>
      <c r="E15" s="217">
        <f t="shared" si="0"/>
        <v>358237</v>
      </c>
    </row>
    <row r="16" spans="1:5" x14ac:dyDescent="0.2">
      <c r="A16" s="208" t="s">
        <v>297</v>
      </c>
      <c r="B16" s="217">
        <v>68664</v>
      </c>
      <c r="C16" s="223"/>
      <c r="D16" s="373"/>
      <c r="E16" s="217">
        <f t="shared" si="0"/>
        <v>68664</v>
      </c>
    </row>
    <row r="17" spans="1:5" s="214" customFormat="1" x14ac:dyDescent="0.2">
      <c r="A17" s="208"/>
      <c r="B17" s="217"/>
      <c r="C17" s="288"/>
      <c r="D17" s="369"/>
      <c r="E17" s="217">
        <f t="shared" si="0"/>
        <v>0</v>
      </c>
    </row>
    <row r="18" spans="1:5" x14ac:dyDescent="0.2">
      <c r="A18" s="211" t="s">
        <v>302</v>
      </c>
      <c r="B18" s="213">
        <f>B19+B21</f>
        <v>29500</v>
      </c>
      <c r="C18" s="223"/>
      <c r="D18" s="213">
        <f>D19+D21</f>
        <v>6500</v>
      </c>
      <c r="E18" s="213">
        <f t="shared" si="0"/>
        <v>36000</v>
      </c>
    </row>
    <row r="19" spans="1:5" x14ac:dyDescent="0.2">
      <c r="A19" s="210" t="s">
        <v>303</v>
      </c>
      <c r="B19" s="215">
        <f>B20</f>
        <v>6284</v>
      </c>
      <c r="C19" s="223"/>
      <c r="D19" s="215">
        <f>D20</f>
        <v>2000</v>
      </c>
      <c r="E19" s="215">
        <f t="shared" si="0"/>
        <v>8284</v>
      </c>
    </row>
    <row r="20" spans="1:5" x14ac:dyDescent="0.2">
      <c r="A20" s="208" t="s">
        <v>304</v>
      </c>
      <c r="B20" s="217">
        <v>6284</v>
      </c>
      <c r="C20" s="223"/>
      <c r="D20" s="368">
        <v>2000</v>
      </c>
      <c r="E20" s="217">
        <f t="shared" si="0"/>
        <v>8284</v>
      </c>
    </row>
    <row r="21" spans="1:5" x14ac:dyDescent="0.2">
      <c r="A21" s="210" t="s">
        <v>295</v>
      </c>
      <c r="B21" s="215">
        <f>B22+B23</f>
        <v>23216</v>
      </c>
      <c r="C21" s="223"/>
      <c r="D21" s="215">
        <f>D22+D23</f>
        <v>4500</v>
      </c>
      <c r="E21" s="215">
        <f t="shared" si="0"/>
        <v>27716</v>
      </c>
    </row>
    <row r="22" spans="1:5" x14ac:dyDescent="0.2">
      <c r="A22" s="208" t="s">
        <v>296</v>
      </c>
      <c r="B22" s="217">
        <v>17086</v>
      </c>
      <c r="C22" s="223"/>
      <c r="D22" s="368"/>
      <c r="E22" s="217">
        <f t="shared" si="0"/>
        <v>17086</v>
      </c>
    </row>
    <row r="23" spans="1:5" x14ac:dyDescent="0.2">
      <c r="A23" s="208" t="s">
        <v>297</v>
      </c>
      <c r="B23" s="217">
        <v>6130</v>
      </c>
      <c r="C23" s="223"/>
      <c r="D23" s="368">
        <v>4500</v>
      </c>
      <c r="E23" s="217">
        <f t="shared" si="0"/>
        <v>10630</v>
      </c>
    </row>
    <row r="24" spans="1:5" x14ac:dyDescent="0.2">
      <c r="A24" s="210"/>
      <c r="B24" s="215"/>
      <c r="C24" s="223"/>
      <c r="D24" s="368"/>
      <c r="E24" s="215">
        <f t="shared" si="0"/>
        <v>0</v>
      </c>
    </row>
    <row r="25" spans="1:5" x14ac:dyDescent="0.2">
      <c r="A25" s="211" t="s">
        <v>305</v>
      </c>
      <c r="B25" s="213">
        <f>B26+B28</f>
        <v>200147</v>
      </c>
      <c r="C25" s="223"/>
      <c r="D25" s="213">
        <f>D26+D28</f>
        <v>19530</v>
      </c>
      <c r="E25" s="213">
        <f t="shared" si="0"/>
        <v>219677</v>
      </c>
    </row>
    <row r="26" spans="1:5" x14ac:dyDescent="0.2">
      <c r="A26" s="210" t="s">
        <v>303</v>
      </c>
      <c r="B26" s="215">
        <f>B27</f>
        <v>179013</v>
      </c>
      <c r="C26" s="223"/>
      <c r="D26" s="215">
        <f>D27</f>
        <v>16380</v>
      </c>
      <c r="E26" s="215">
        <f t="shared" si="0"/>
        <v>195393</v>
      </c>
    </row>
    <row r="27" spans="1:5" ht="26.25" customHeight="1" x14ac:dyDescent="0.2">
      <c r="A27" s="208" t="s">
        <v>304</v>
      </c>
      <c r="B27" s="217">
        <f>149013+29000+1000</f>
        <v>179013</v>
      </c>
      <c r="C27" s="223"/>
      <c r="D27" s="368">
        <v>16380</v>
      </c>
      <c r="E27" s="217">
        <f t="shared" si="0"/>
        <v>195393</v>
      </c>
    </row>
    <row r="28" spans="1:5" x14ac:dyDescent="0.2">
      <c r="A28" s="210" t="s">
        <v>295</v>
      </c>
      <c r="B28" s="215">
        <f>B29+B30</f>
        <v>21134</v>
      </c>
      <c r="C28" s="223"/>
      <c r="D28" s="215">
        <f>D29+D30</f>
        <v>3150</v>
      </c>
      <c r="E28" s="215">
        <f t="shared" si="0"/>
        <v>24284</v>
      </c>
    </row>
    <row r="29" spans="1:5" x14ac:dyDescent="0.2">
      <c r="A29" s="208" t="s">
        <v>296</v>
      </c>
      <c r="B29" s="217">
        <v>18839</v>
      </c>
      <c r="C29" s="223"/>
      <c r="D29" s="368">
        <v>3459</v>
      </c>
      <c r="E29" s="217">
        <f t="shared" si="0"/>
        <v>22298</v>
      </c>
    </row>
    <row r="30" spans="1:5" x14ac:dyDescent="0.2">
      <c r="A30" s="208" t="s">
        <v>297</v>
      </c>
      <c r="B30" s="217">
        <v>2295</v>
      </c>
      <c r="C30" s="223"/>
      <c r="D30" s="368">
        <v>-309</v>
      </c>
      <c r="E30" s="217">
        <f t="shared" si="0"/>
        <v>1986</v>
      </c>
    </row>
    <row r="31" spans="1:5" s="214" customFormat="1" x14ac:dyDescent="0.2">
      <c r="A31" s="208"/>
      <c r="B31" s="217"/>
      <c r="D31" s="369"/>
      <c r="E31" s="217">
        <f t="shared" si="0"/>
        <v>0</v>
      </c>
    </row>
    <row r="32" spans="1:5" x14ac:dyDescent="0.2">
      <c r="A32" s="211" t="s">
        <v>306</v>
      </c>
      <c r="B32" s="213">
        <f>B34+B47+B61+B79+B93+B111+B87</f>
        <v>26580454</v>
      </c>
      <c r="C32" s="213">
        <f>C34+C47+C61+C79+C93+C111+C87</f>
        <v>231847</v>
      </c>
      <c r="D32" s="213">
        <f>D34+D47+D61+D79+D93+D111+D87</f>
        <v>272934</v>
      </c>
      <c r="E32" s="213">
        <f t="shared" si="0"/>
        <v>27085235</v>
      </c>
    </row>
    <row r="33" spans="1:5" x14ac:dyDescent="0.2">
      <c r="A33" s="219"/>
      <c r="B33" s="220"/>
      <c r="C33" s="220"/>
      <c r="D33" s="373"/>
      <c r="E33" s="220">
        <f t="shared" si="0"/>
        <v>0</v>
      </c>
    </row>
    <row r="34" spans="1:5" x14ac:dyDescent="0.2">
      <c r="A34" s="210" t="s">
        <v>307</v>
      </c>
      <c r="B34" s="215">
        <f>B35+B37+B41+B44+B39</f>
        <v>3932870</v>
      </c>
      <c r="C34" s="215">
        <f>C35+C37+C41+C44+C39</f>
        <v>-12500</v>
      </c>
      <c r="D34" s="215">
        <f>D35+D37+D41+D44+D39</f>
        <v>3085</v>
      </c>
      <c r="E34" s="215">
        <f t="shared" si="0"/>
        <v>3923455</v>
      </c>
    </row>
    <row r="35" spans="1:5" x14ac:dyDescent="0.2">
      <c r="A35" s="210" t="s">
        <v>308</v>
      </c>
      <c r="B35" s="215">
        <f>B36</f>
        <v>3623790</v>
      </c>
      <c r="C35" s="215">
        <f>C36</f>
        <v>-38000</v>
      </c>
      <c r="D35" s="215">
        <f t="shared" ref="D35" si="1">D36</f>
        <v>9150</v>
      </c>
      <c r="E35" s="215">
        <f t="shared" si="0"/>
        <v>3594940</v>
      </c>
    </row>
    <row r="36" spans="1:5" ht="38.25" x14ac:dyDescent="0.2">
      <c r="A36" s="209" t="s">
        <v>309</v>
      </c>
      <c r="B36" s="218">
        <v>3623790</v>
      </c>
      <c r="C36" s="218">
        <v>-38000</v>
      </c>
      <c r="D36" s="218">
        <v>9150</v>
      </c>
      <c r="E36" s="218">
        <v>3594940</v>
      </c>
    </row>
    <row r="37" spans="1:5" x14ac:dyDescent="0.2">
      <c r="A37" s="210" t="s">
        <v>310</v>
      </c>
      <c r="B37" s="215">
        <f>B38</f>
        <v>77030</v>
      </c>
      <c r="C37" s="215">
        <f>C38</f>
        <v>21000</v>
      </c>
      <c r="D37" s="215">
        <f t="shared" ref="D37" si="2">D38</f>
        <v>0</v>
      </c>
      <c r="E37" s="215">
        <f t="shared" si="0"/>
        <v>98030</v>
      </c>
    </row>
    <row r="38" spans="1:5" ht="25.5" x14ac:dyDescent="0.2">
      <c r="A38" s="209" t="s">
        <v>427</v>
      </c>
      <c r="B38" s="218">
        <v>77030</v>
      </c>
      <c r="C38" s="218">
        <v>21000</v>
      </c>
      <c r="D38" s="217"/>
      <c r="E38" s="218">
        <f t="shared" si="0"/>
        <v>98030</v>
      </c>
    </row>
    <row r="39" spans="1:5" x14ac:dyDescent="0.2">
      <c r="A39" s="210" t="s">
        <v>311</v>
      </c>
      <c r="B39" s="215">
        <f>B40</f>
        <v>101850</v>
      </c>
      <c r="C39" s="215">
        <f>C40</f>
        <v>-9000</v>
      </c>
      <c r="D39" s="215">
        <f t="shared" ref="D39" si="3">D40</f>
        <v>0</v>
      </c>
      <c r="E39" s="215">
        <f t="shared" si="0"/>
        <v>92850</v>
      </c>
    </row>
    <row r="40" spans="1:5" ht="25.5" x14ac:dyDescent="0.2">
      <c r="A40" s="209" t="s">
        <v>427</v>
      </c>
      <c r="B40" s="218">
        <v>101850</v>
      </c>
      <c r="C40" s="218">
        <v>-9000</v>
      </c>
      <c r="D40" s="217"/>
      <c r="E40" s="218">
        <f t="shared" si="0"/>
        <v>92850</v>
      </c>
    </row>
    <row r="41" spans="1:5" x14ac:dyDescent="0.2">
      <c r="A41" s="210" t="s">
        <v>295</v>
      </c>
      <c r="B41" s="215">
        <f>B42+B43</f>
        <v>130000</v>
      </c>
      <c r="C41" s="215">
        <f>C42+C43</f>
        <v>13500</v>
      </c>
      <c r="D41" s="215">
        <f t="shared" ref="D41" si="4">D42+D43</f>
        <v>-6075</v>
      </c>
      <c r="E41" s="215">
        <f t="shared" si="0"/>
        <v>137425</v>
      </c>
    </row>
    <row r="42" spans="1:5" x14ac:dyDescent="0.2">
      <c r="A42" s="208" t="s">
        <v>296</v>
      </c>
      <c r="B42" s="217">
        <v>62400</v>
      </c>
      <c r="C42" s="217">
        <v>13500</v>
      </c>
      <c r="D42" s="217">
        <f>-900+425</f>
        <v>-475</v>
      </c>
      <c r="E42" s="217">
        <f t="shared" si="0"/>
        <v>75425</v>
      </c>
    </row>
    <row r="43" spans="1:5" x14ac:dyDescent="0.2">
      <c r="A43" s="208" t="s">
        <v>297</v>
      </c>
      <c r="B43" s="217">
        <v>67600</v>
      </c>
      <c r="C43" s="217"/>
      <c r="D43" s="217">
        <v>-5600</v>
      </c>
      <c r="E43" s="217">
        <f t="shared" si="0"/>
        <v>62000</v>
      </c>
    </row>
    <row r="44" spans="1:5" x14ac:dyDescent="0.2">
      <c r="A44" s="210" t="s">
        <v>299</v>
      </c>
      <c r="B44" s="215">
        <f>B45</f>
        <v>200</v>
      </c>
      <c r="C44" s="215">
        <f>C45</f>
        <v>0</v>
      </c>
      <c r="D44" s="215">
        <f t="shared" ref="D44" si="5">D45</f>
        <v>10</v>
      </c>
      <c r="E44" s="215">
        <f t="shared" si="0"/>
        <v>210</v>
      </c>
    </row>
    <row r="45" spans="1:5" x14ac:dyDescent="0.2">
      <c r="A45" s="221" t="s">
        <v>301</v>
      </c>
      <c r="B45" s="222">
        <v>200</v>
      </c>
      <c r="C45" s="222"/>
      <c r="D45" s="373">
        <v>10</v>
      </c>
      <c r="E45" s="222">
        <f t="shared" si="0"/>
        <v>210</v>
      </c>
    </row>
    <row r="46" spans="1:5" x14ac:dyDescent="0.2">
      <c r="A46" s="208"/>
      <c r="B46" s="217"/>
      <c r="C46" s="217"/>
      <c r="D46" s="373"/>
      <c r="E46" s="217">
        <f t="shared" si="0"/>
        <v>0</v>
      </c>
    </row>
    <row r="47" spans="1:5" x14ac:dyDescent="0.2">
      <c r="A47" s="210" t="s">
        <v>314</v>
      </c>
      <c r="B47" s="215">
        <f>B48+B55</f>
        <v>16928914</v>
      </c>
      <c r="C47" s="215">
        <f>C48+C55</f>
        <v>-255</v>
      </c>
      <c r="D47" s="215">
        <f>D48+D55+D58</f>
        <v>10618</v>
      </c>
      <c r="E47" s="215">
        <f t="shared" si="0"/>
        <v>16939277</v>
      </c>
    </row>
    <row r="48" spans="1:5" x14ac:dyDescent="0.2">
      <c r="A48" s="210" t="s">
        <v>308</v>
      </c>
      <c r="B48" s="215">
        <f>SUM(B49:B54)</f>
        <v>16844674</v>
      </c>
      <c r="C48" s="215">
        <f>SUM(C49:C54)</f>
        <v>-49412</v>
      </c>
      <c r="D48" s="217">
        <f>SUM(D49:D54)</f>
        <v>-8237</v>
      </c>
      <c r="E48" s="215">
        <f t="shared" si="0"/>
        <v>16787025</v>
      </c>
    </row>
    <row r="49" spans="1:5" x14ac:dyDescent="0.2">
      <c r="A49" s="209" t="s">
        <v>315</v>
      </c>
      <c r="B49" s="218">
        <f>5668950-14464-26564-2+30186</f>
        <v>5658106</v>
      </c>
      <c r="C49" s="218"/>
      <c r="D49" s="217"/>
      <c r="E49" s="218">
        <f t="shared" si="0"/>
        <v>5658106</v>
      </c>
    </row>
    <row r="50" spans="1:5" x14ac:dyDescent="0.2">
      <c r="A50" s="269" t="s">
        <v>654</v>
      </c>
      <c r="B50" s="218">
        <v>16900</v>
      </c>
      <c r="C50" s="218">
        <v>-2986</v>
      </c>
      <c r="D50" s="217">
        <v>-2141</v>
      </c>
      <c r="E50" s="218">
        <f t="shared" si="0"/>
        <v>11773</v>
      </c>
    </row>
    <row r="51" spans="1:5" x14ac:dyDescent="0.2">
      <c r="A51" s="209" t="s">
        <v>316</v>
      </c>
      <c r="B51" s="218">
        <f>10701430-31377-40535+2+48368</f>
        <v>10677888</v>
      </c>
      <c r="C51" s="218"/>
      <c r="D51" s="217"/>
      <c r="E51" s="218">
        <f t="shared" si="0"/>
        <v>10677888</v>
      </c>
    </row>
    <row r="52" spans="1:5" x14ac:dyDescent="0.2">
      <c r="A52" s="270" t="s">
        <v>578</v>
      </c>
      <c r="B52" s="218">
        <v>56100</v>
      </c>
      <c r="C52" s="218">
        <v>-25838</v>
      </c>
      <c r="D52" s="217">
        <v>1215</v>
      </c>
      <c r="E52" s="218">
        <f t="shared" si="0"/>
        <v>31477</v>
      </c>
    </row>
    <row r="53" spans="1:5" x14ac:dyDescent="0.2">
      <c r="A53" s="208" t="s">
        <v>317</v>
      </c>
      <c r="B53" s="217">
        <f>147720-2135+5</f>
        <v>145590</v>
      </c>
      <c r="C53" s="217">
        <v>6913</v>
      </c>
      <c r="D53" s="217">
        <v>10335</v>
      </c>
      <c r="E53" s="217">
        <f t="shared" si="0"/>
        <v>162838</v>
      </c>
    </row>
    <row r="54" spans="1:5" x14ac:dyDescent="0.2">
      <c r="A54" s="208" t="s">
        <v>304</v>
      </c>
      <c r="B54" s="217">
        <f>270720+27700-8325-5</f>
        <v>290090</v>
      </c>
      <c r="C54" s="217">
        <v>-27501</v>
      </c>
      <c r="D54" s="215">
        <f>-25686+8040</f>
        <v>-17646</v>
      </c>
      <c r="E54" s="217">
        <f t="shared" si="0"/>
        <v>244943</v>
      </c>
    </row>
    <row r="55" spans="1:5" x14ac:dyDescent="0.2">
      <c r="A55" s="210" t="s">
        <v>295</v>
      </c>
      <c r="B55" s="215">
        <f>B56+B57</f>
        <v>84240</v>
      </c>
      <c r="C55" s="215">
        <f>C56+C57</f>
        <v>49157</v>
      </c>
      <c r="D55" s="215">
        <f t="shared" ref="D55" si="6">D56+D57</f>
        <v>18734</v>
      </c>
      <c r="E55" s="215">
        <f t="shared" si="0"/>
        <v>152131</v>
      </c>
    </row>
    <row r="56" spans="1:5" x14ac:dyDescent="0.2">
      <c r="A56" s="208" t="s">
        <v>296</v>
      </c>
      <c r="B56" s="217">
        <v>16470</v>
      </c>
      <c r="C56" s="217"/>
      <c r="D56" s="217">
        <v>1479</v>
      </c>
      <c r="E56" s="217">
        <f t="shared" si="0"/>
        <v>17949</v>
      </c>
    </row>
    <row r="57" spans="1:5" x14ac:dyDescent="0.2">
      <c r="A57" s="208" t="s">
        <v>297</v>
      </c>
      <c r="B57" s="217">
        <f>33830+14720+15540+3680</f>
        <v>67770</v>
      </c>
      <c r="C57" s="217">
        <v>49157</v>
      </c>
      <c r="D57" s="217">
        <v>17255</v>
      </c>
      <c r="E57" s="217">
        <f t="shared" si="0"/>
        <v>134182</v>
      </c>
    </row>
    <row r="58" spans="1:5" x14ac:dyDescent="0.2">
      <c r="A58" s="210" t="s">
        <v>299</v>
      </c>
      <c r="B58" s="217"/>
      <c r="C58" s="217"/>
      <c r="D58" s="217">
        <f>D59</f>
        <v>121</v>
      </c>
      <c r="E58" s="217">
        <f t="shared" si="0"/>
        <v>121</v>
      </c>
    </row>
    <row r="59" spans="1:5" x14ac:dyDescent="0.2">
      <c r="A59" s="208" t="s">
        <v>301</v>
      </c>
      <c r="B59" s="217"/>
      <c r="C59" s="217"/>
      <c r="D59" s="217">
        <v>121</v>
      </c>
      <c r="E59" s="217">
        <f t="shared" si="0"/>
        <v>121</v>
      </c>
    </row>
    <row r="60" spans="1:5" x14ac:dyDescent="0.2">
      <c r="A60" s="371"/>
      <c r="B60" s="217"/>
      <c r="C60" s="217"/>
      <c r="D60" s="373"/>
      <c r="E60" s="217">
        <f t="shared" si="0"/>
        <v>0</v>
      </c>
    </row>
    <row r="61" spans="1:5" x14ac:dyDescent="0.2">
      <c r="A61" s="224" t="s">
        <v>318</v>
      </c>
      <c r="B61" s="225">
        <f>B62+B73+B77</f>
        <v>3484650</v>
      </c>
      <c r="C61" s="225">
        <f>C62+C73+C77</f>
        <v>192289</v>
      </c>
      <c r="D61" s="215">
        <f t="shared" ref="D61" si="7">D62+D73+D77</f>
        <v>248308</v>
      </c>
      <c r="E61" s="225">
        <f t="shared" si="0"/>
        <v>3925247</v>
      </c>
    </row>
    <row r="62" spans="1:5" x14ac:dyDescent="0.2">
      <c r="A62" s="210" t="s">
        <v>308</v>
      </c>
      <c r="B62" s="215">
        <f>B63+B64+B65+B66+B67+B68+B69+B70+B71+B72</f>
        <v>2951000</v>
      </c>
      <c r="C62" s="215">
        <f>C63+C64+C65+C66+C67+C68+C69+C70+C71+C72</f>
        <v>188772</v>
      </c>
      <c r="D62" s="215">
        <f t="shared" ref="D62" si="8">D63+D64+D65+D66+D67+D68+D69+D70+D71+D72</f>
        <v>252873</v>
      </c>
      <c r="E62" s="215">
        <f t="shared" si="0"/>
        <v>3392645</v>
      </c>
    </row>
    <row r="63" spans="1:5" x14ac:dyDescent="0.2">
      <c r="A63" s="209" t="s">
        <v>315</v>
      </c>
      <c r="B63" s="218">
        <v>41030</v>
      </c>
      <c r="C63" s="218">
        <v>-352</v>
      </c>
      <c r="D63" s="217">
        <v>800</v>
      </c>
      <c r="E63" s="218">
        <f t="shared" si="0"/>
        <v>41478</v>
      </c>
    </row>
    <row r="64" spans="1:5" x14ac:dyDescent="0.2">
      <c r="A64" s="209" t="s">
        <v>316</v>
      </c>
      <c r="B64" s="218">
        <v>71910</v>
      </c>
      <c r="C64" s="218">
        <v>11829</v>
      </c>
      <c r="D64" s="217">
        <v>-268</v>
      </c>
      <c r="E64" s="218">
        <f t="shared" si="0"/>
        <v>83471</v>
      </c>
    </row>
    <row r="65" spans="1:5" x14ac:dyDescent="0.2">
      <c r="A65" s="209" t="s">
        <v>319</v>
      </c>
      <c r="B65" s="218">
        <v>17340</v>
      </c>
      <c r="C65" s="218"/>
      <c r="D65" s="217">
        <v>441</v>
      </c>
      <c r="E65" s="218">
        <f t="shared" si="0"/>
        <v>17781</v>
      </c>
    </row>
    <row r="66" spans="1:5" x14ac:dyDescent="0.2">
      <c r="A66" s="208" t="s">
        <v>10</v>
      </c>
      <c r="B66" s="217">
        <f>876720+60000</f>
        <v>936720</v>
      </c>
      <c r="C66" s="217">
        <v>104033</v>
      </c>
      <c r="D66" s="217">
        <v>65128</v>
      </c>
      <c r="E66" s="217">
        <f t="shared" si="0"/>
        <v>1105881</v>
      </c>
    </row>
    <row r="67" spans="1:5" x14ac:dyDescent="0.2">
      <c r="A67" s="208" t="s">
        <v>325</v>
      </c>
      <c r="B67" s="217">
        <v>223220</v>
      </c>
      <c r="C67" s="217"/>
      <c r="D67" s="217">
        <v>33037</v>
      </c>
      <c r="E67" s="217">
        <f t="shared" ref="E67:E130" si="9">SUM(B67:D67)</f>
        <v>256257</v>
      </c>
    </row>
    <row r="68" spans="1:5" x14ac:dyDescent="0.2">
      <c r="A68" s="208" t="s">
        <v>317</v>
      </c>
      <c r="B68" s="217">
        <f>1505250+100000</f>
        <v>1605250</v>
      </c>
      <c r="C68" s="217">
        <v>63712</v>
      </c>
      <c r="D68" s="217">
        <v>136636</v>
      </c>
      <c r="E68" s="217">
        <f t="shared" si="9"/>
        <v>1805598</v>
      </c>
    </row>
    <row r="69" spans="1:5" ht="25.5" x14ac:dyDescent="0.2">
      <c r="A69" s="209" t="s">
        <v>320</v>
      </c>
      <c r="B69" s="218">
        <v>21650</v>
      </c>
      <c r="C69" s="218">
        <v>2850</v>
      </c>
      <c r="D69" s="217">
        <v>11980</v>
      </c>
      <c r="E69" s="218">
        <f t="shared" si="9"/>
        <v>36480</v>
      </c>
    </row>
    <row r="70" spans="1:5" x14ac:dyDescent="0.2">
      <c r="A70" s="208" t="s">
        <v>326</v>
      </c>
      <c r="B70" s="217">
        <v>2000</v>
      </c>
      <c r="C70" s="217"/>
      <c r="D70" s="217"/>
      <c r="E70" s="217">
        <f t="shared" si="9"/>
        <v>2000</v>
      </c>
    </row>
    <row r="71" spans="1:5" x14ac:dyDescent="0.2">
      <c r="A71" s="208" t="s">
        <v>327</v>
      </c>
      <c r="B71" s="217">
        <v>2500</v>
      </c>
      <c r="C71" s="217"/>
      <c r="D71" s="217">
        <v>200</v>
      </c>
      <c r="E71" s="217">
        <f t="shared" si="9"/>
        <v>2700</v>
      </c>
    </row>
    <row r="72" spans="1:5" x14ac:dyDescent="0.2">
      <c r="A72" s="208" t="s">
        <v>304</v>
      </c>
      <c r="B72" s="217">
        <v>29380</v>
      </c>
      <c r="C72" s="217">
        <v>6700</v>
      </c>
      <c r="D72" s="217">
        <v>4919</v>
      </c>
      <c r="E72" s="217">
        <f t="shared" si="9"/>
        <v>40999</v>
      </c>
    </row>
    <row r="73" spans="1:5" x14ac:dyDescent="0.2">
      <c r="A73" s="210" t="s">
        <v>295</v>
      </c>
      <c r="B73" s="215">
        <f>B74+B75</f>
        <v>533410</v>
      </c>
      <c r="C73" s="215">
        <f>C74+C75</f>
        <v>3327</v>
      </c>
      <c r="D73" s="215">
        <f t="shared" ref="D73" si="10">D74+D75</f>
        <v>-4565</v>
      </c>
      <c r="E73" s="215">
        <f t="shared" si="9"/>
        <v>532172</v>
      </c>
    </row>
    <row r="74" spans="1:5" x14ac:dyDescent="0.2">
      <c r="A74" s="208" t="s">
        <v>296</v>
      </c>
      <c r="B74" s="217">
        <f>61670+1150</f>
        <v>62820</v>
      </c>
      <c r="C74" s="217">
        <v>3327</v>
      </c>
      <c r="D74" s="217">
        <v>-1657</v>
      </c>
      <c r="E74" s="217">
        <f t="shared" si="9"/>
        <v>64490</v>
      </c>
    </row>
    <row r="75" spans="1:5" x14ac:dyDescent="0.2">
      <c r="A75" s="208" t="s">
        <v>297</v>
      </c>
      <c r="B75" s="217">
        <v>470590</v>
      </c>
      <c r="C75" s="217"/>
      <c r="D75" s="217">
        <v>-2908</v>
      </c>
      <c r="E75" s="217">
        <f t="shared" si="9"/>
        <v>467682</v>
      </c>
    </row>
    <row r="76" spans="1:5" x14ac:dyDescent="0.2">
      <c r="A76" s="210" t="s">
        <v>299</v>
      </c>
      <c r="B76" s="215">
        <f>B77</f>
        <v>240</v>
      </c>
      <c r="C76" s="215">
        <f>C77</f>
        <v>190</v>
      </c>
      <c r="D76" s="215">
        <f t="shared" ref="D76" si="11">D77</f>
        <v>0</v>
      </c>
      <c r="E76" s="215">
        <f t="shared" si="9"/>
        <v>430</v>
      </c>
    </row>
    <row r="77" spans="1:5" x14ac:dyDescent="0.2">
      <c r="A77" s="208" t="s">
        <v>301</v>
      </c>
      <c r="B77" s="217">
        <v>240</v>
      </c>
      <c r="C77" s="217">
        <v>190</v>
      </c>
      <c r="D77" s="217"/>
      <c r="E77" s="217">
        <f t="shared" si="9"/>
        <v>430</v>
      </c>
    </row>
    <row r="78" spans="1:5" x14ac:dyDescent="0.2">
      <c r="A78" s="208"/>
      <c r="B78" s="217"/>
      <c r="C78" s="217"/>
      <c r="D78" s="373"/>
      <c r="E78" s="217">
        <f t="shared" si="9"/>
        <v>0</v>
      </c>
    </row>
    <row r="79" spans="1:5" x14ac:dyDescent="0.2">
      <c r="A79" s="224" t="s">
        <v>517</v>
      </c>
      <c r="B79" s="225">
        <f>B80+B84</f>
        <v>60000</v>
      </c>
      <c r="C79" s="225">
        <f>C80+C84</f>
        <v>0</v>
      </c>
      <c r="D79" s="215">
        <f t="shared" ref="D79" si="12">D80+D84</f>
        <v>-8721</v>
      </c>
      <c r="E79" s="225">
        <f t="shared" si="9"/>
        <v>51279</v>
      </c>
    </row>
    <row r="80" spans="1:5" x14ac:dyDescent="0.2">
      <c r="A80" s="210" t="s">
        <v>308</v>
      </c>
      <c r="B80" s="215">
        <f>B82+B81</f>
        <v>35000</v>
      </c>
      <c r="C80" s="215">
        <f>C82+C81</f>
        <v>0</v>
      </c>
      <c r="D80" s="215">
        <f>D82+D81+D83</f>
        <v>-8721</v>
      </c>
      <c r="E80" s="215">
        <f t="shared" si="9"/>
        <v>26279</v>
      </c>
    </row>
    <row r="81" spans="1:5" x14ac:dyDescent="0.2">
      <c r="A81" s="209" t="s">
        <v>385</v>
      </c>
      <c r="B81" s="218">
        <v>18000</v>
      </c>
      <c r="C81" s="218"/>
      <c r="D81" s="217"/>
      <c r="E81" s="218">
        <f t="shared" si="9"/>
        <v>18000</v>
      </c>
    </row>
    <row r="82" spans="1:5" ht="25.5" x14ac:dyDescent="0.2">
      <c r="A82" s="209" t="s">
        <v>317</v>
      </c>
      <c r="B82" s="218">
        <v>17000</v>
      </c>
      <c r="C82" s="218"/>
      <c r="D82" s="217">
        <v>-10000</v>
      </c>
      <c r="E82" s="218">
        <f t="shared" si="9"/>
        <v>7000</v>
      </c>
    </row>
    <row r="83" spans="1:5" x14ac:dyDescent="0.2">
      <c r="A83" s="378" t="s">
        <v>321</v>
      </c>
      <c r="B83" s="218"/>
      <c r="C83" s="218"/>
      <c r="D83" s="217">
        <v>1279</v>
      </c>
      <c r="E83" s="218">
        <f t="shared" si="9"/>
        <v>1279</v>
      </c>
    </row>
    <row r="84" spans="1:5" x14ac:dyDescent="0.2">
      <c r="A84" s="210" t="s">
        <v>295</v>
      </c>
      <c r="B84" s="215">
        <f>B85</f>
        <v>25000</v>
      </c>
      <c r="C84" s="215">
        <f>C85</f>
        <v>0</v>
      </c>
      <c r="D84" s="215">
        <f t="shared" ref="D84" si="13">D85</f>
        <v>0</v>
      </c>
      <c r="E84" s="215">
        <f t="shared" si="9"/>
        <v>25000</v>
      </c>
    </row>
    <row r="85" spans="1:5" x14ac:dyDescent="0.2">
      <c r="A85" s="208" t="s">
        <v>297</v>
      </c>
      <c r="B85" s="217">
        <v>25000</v>
      </c>
      <c r="C85" s="217"/>
      <c r="D85" s="217"/>
      <c r="E85" s="217">
        <f t="shared" si="9"/>
        <v>25000</v>
      </c>
    </row>
    <row r="86" spans="1:5" x14ac:dyDescent="0.2">
      <c r="A86" s="208"/>
      <c r="B86" s="217"/>
      <c r="C86" s="217"/>
      <c r="D86" s="373"/>
      <c r="E86" s="217">
        <f t="shared" si="9"/>
        <v>0</v>
      </c>
    </row>
    <row r="87" spans="1:5" x14ac:dyDescent="0.2">
      <c r="A87" s="210" t="s">
        <v>518</v>
      </c>
      <c r="B87" s="215">
        <f>B88+B90</f>
        <v>2450</v>
      </c>
      <c r="C87" s="215">
        <f>C88+C90</f>
        <v>-300</v>
      </c>
      <c r="D87" s="215">
        <f t="shared" ref="D87" si="14">D88+D90</f>
        <v>-530</v>
      </c>
      <c r="E87" s="215">
        <f t="shared" si="9"/>
        <v>1620</v>
      </c>
    </row>
    <row r="88" spans="1:5" x14ac:dyDescent="0.2">
      <c r="A88" s="210" t="s">
        <v>308</v>
      </c>
      <c r="B88" s="215">
        <f>B89</f>
        <v>1800</v>
      </c>
      <c r="C88" s="215">
        <f>C89</f>
        <v>-200</v>
      </c>
      <c r="D88" s="215">
        <f t="shared" ref="D88" si="15">D89</f>
        <v>-390</v>
      </c>
      <c r="E88" s="215">
        <f t="shared" si="9"/>
        <v>1210</v>
      </c>
    </row>
    <row r="89" spans="1:5" x14ac:dyDescent="0.2">
      <c r="A89" s="208" t="s">
        <v>317</v>
      </c>
      <c r="B89" s="217">
        <v>1800</v>
      </c>
      <c r="C89" s="217">
        <v>-200</v>
      </c>
      <c r="D89" s="217">
        <v>-390</v>
      </c>
      <c r="E89" s="217">
        <f t="shared" si="9"/>
        <v>1210</v>
      </c>
    </row>
    <row r="90" spans="1:5" x14ac:dyDescent="0.2">
      <c r="A90" s="210" t="s">
        <v>299</v>
      </c>
      <c r="B90" s="215">
        <f>B91</f>
        <v>650</v>
      </c>
      <c r="C90" s="215">
        <f>C91</f>
        <v>-100</v>
      </c>
      <c r="D90" s="217">
        <f t="shared" ref="D90" si="16">D91</f>
        <v>-140</v>
      </c>
      <c r="E90" s="215">
        <f t="shared" si="9"/>
        <v>410</v>
      </c>
    </row>
    <row r="91" spans="1:5" x14ac:dyDescent="0.2">
      <c r="A91" s="221" t="s">
        <v>301</v>
      </c>
      <c r="B91" s="222">
        <v>650</v>
      </c>
      <c r="C91" s="222">
        <v>-100</v>
      </c>
      <c r="D91" s="217">
        <v>-140</v>
      </c>
      <c r="E91" s="222">
        <f t="shared" si="9"/>
        <v>410</v>
      </c>
    </row>
    <row r="92" spans="1:5" x14ac:dyDescent="0.2">
      <c r="A92" s="208"/>
      <c r="B92" s="217"/>
      <c r="C92" s="217"/>
      <c r="D92" s="217"/>
      <c r="E92" s="217">
        <f t="shared" si="9"/>
        <v>0</v>
      </c>
    </row>
    <row r="93" spans="1:5" x14ac:dyDescent="0.2">
      <c r="A93" s="210" t="s">
        <v>522</v>
      </c>
      <c r="B93" s="215">
        <f>B97+B107+B94+B100</f>
        <v>1920570</v>
      </c>
      <c r="C93" s="215">
        <f>C97+C107+C94+C100</f>
        <v>48613</v>
      </c>
      <c r="D93" s="215">
        <f t="shared" ref="D93" si="17">D97+D107+D94+D100</f>
        <v>20174</v>
      </c>
      <c r="E93" s="215">
        <f t="shared" si="9"/>
        <v>1989357</v>
      </c>
    </row>
    <row r="94" spans="1:5" x14ac:dyDescent="0.2">
      <c r="A94" s="210" t="s">
        <v>308</v>
      </c>
      <c r="B94" s="215">
        <f>B95+B96</f>
        <v>550</v>
      </c>
      <c r="C94" s="215">
        <f>C95+C96</f>
        <v>144</v>
      </c>
      <c r="D94" s="215">
        <f t="shared" ref="D94" si="18">D95+D96</f>
        <v>13</v>
      </c>
      <c r="E94" s="215">
        <f t="shared" si="9"/>
        <v>707</v>
      </c>
    </row>
    <row r="95" spans="1:5" ht="25.5" x14ac:dyDescent="0.2">
      <c r="A95" s="209" t="s">
        <v>317</v>
      </c>
      <c r="B95" s="218">
        <v>500</v>
      </c>
      <c r="C95" s="218">
        <v>144</v>
      </c>
      <c r="D95" s="217">
        <v>13</v>
      </c>
      <c r="E95" s="218">
        <f t="shared" si="9"/>
        <v>657</v>
      </c>
    </row>
    <row r="96" spans="1:5" x14ac:dyDescent="0.2">
      <c r="A96" s="209" t="s">
        <v>321</v>
      </c>
      <c r="B96" s="218">
        <v>50</v>
      </c>
      <c r="C96" s="218"/>
      <c r="D96" s="217"/>
      <c r="E96" s="218">
        <f t="shared" si="9"/>
        <v>50</v>
      </c>
    </row>
    <row r="97" spans="1:5" x14ac:dyDescent="0.2">
      <c r="A97" s="210" t="s">
        <v>310</v>
      </c>
      <c r="B97" s="215">
        <f>B98+B99</f>
        <v>569230</v>
      </c>
      <c r="C97" s="215">
        <f>C98+C99</f>
        <v>20513</v>
      </c>
      <c r="D97" s="215">
        <f t="shared" ref="D97" si="19">D98+D99</f>
        <v>24987</v>
      </c>
      <c r="E97" s="215">
        <f t="shared" si="9"/>
        <v>614730</v>
      </c>
    </row>
    <row r="98" spans="1:5" x14ac:dyDescent="0.2">
      <c r="A98" s="209" t="s">
        <v>428</v>
      </c>
      <c r="B98" s="218">
        <v>560120</v>
      </c>
      <c r="C98" s="218">
        <v>20513</v>
      </c>
      <c r="D98" s="217">
        <v>23668</v>
      </c>
      <c r="E98" s="218">
        <f t="shared" si="9"/>
        <v>604301</v>
      </c>
    </row>
    <row r="99" spans="1:5" x14ac:dyDescent="0.2">
      <c r="A99" s="208" t="s">
        <v>304</v>
      </c>
      <c r="B99" s="217">
        <v>9110</v>
      </c>
      <c r="C99" s="217"/>
      <c r="D99" s="217">
        <v>1319</v>
      </c>
      <c r="E99" s="217">
        <f t="shared" si="9"/>
        <v>10429</v>
      </c>
    </row>
    <row r="100" spans="1:5" x14ac:dyDescent="0.2">
      <c r="A100" s="210" t="s">
        <v>311</v>
      </c>
      <c r="B100" s="215">
        <f>SUM(B101:B106)</f>
        <v>1244840</v>
      </c>
      <c r="C100" s="215">
        <f>SUM(C101:C106)</f>
        <v>7670</v>
      </c>
      <c r="D100" s="215">
        <f t="shared" ref="D100" si="20">SUM(D101:D106)</f>
        <v>-348</v>
      </c>
      <c r="E100" s="215">
        <f t="shared" si="9"/>
        <v>1252162</v>
      </c>
    </row>
    <row r="101" spans="1:5" x14ac:dyDescent="0.2">
      <c r="A101" s="209" t="s">
        <v>10</v>
      </c>
      <c r="B101" s="218">
        <v>1071310</v>
      </c>
      <c r="C101" s="218">
        <v>6290</v>
      </c>
      <c r="D101" s="217">
        <v>5000</v>
      </c>
      <c r="E101" s="218">
        <f t="shared" si="9"/>
        <v>1082600</v>
      </c>
    </row>
    <row r="102" spans="1:5" x14ac:dyDescent="0.2">
      <c r="A102" s="208" t="s">
        <v>323</v>
      </c>
      <c r="B102" s="217">
        <v>20100</v>
      </c>
      <c r="C102" s="217"/>
      <c r="D102" s="217">
        <v>376</v>
      </c>
      <c r="E102" s="217">
        <f t="shared" si="9"/>
        <v>20476</v>
      </c>
    </row>
    <row r="103" spans="1:5" x14ac:dyDescent="0.2">
      <c r="A103" s="208" t="s">
        <v>579</v>
      </c>
      <c r="B103" s="217">
        <v>200</v>
      </c>
      <c r="C103" s="217"/>
      <c r="D103" s="217"/>
      <c r="E103" s="217">
        <f t="shared" si="9"/>
        <v>200</v>
      </c>
    </row>
    <row r="104" spans="1:5" x14ac:dyDescent="0.2">
      <c r="A104" s="208" t="s">
        <v>324</v>
      </c>
      <c r="B104" s="217">
        <v>13000</v>
      </c>
      <c r="C104" s="217">
        <v>1080</v>
      </c>
      <c r="D104" s="217">
        <v>-600</v>
      </c>
      <c r="E104" s="217">
        <f t="shared" si="9"/>
        <v>13480</v>
      </c>
    </row>
    <row r="105" spans="1:5" x14ac:dyDescent="0.2">
      <c r="A105" s="208" t="s">
        <v>39</v>
      </c>
      <c r="B105" s="217"/>
      <c r="C105" s="217">
        <v>300</v>
      </c>
      <c r="D105" s="217"/>
      <c r="E105" s="217">
        <f t="shared" si="9"/>
        <v>300</v>
      </c>
    </row>
    <row r="106" spans="1:5" x14ac:dyDescent="0.2">
      <c r="A106" s="208" t="s">
        <v>322</v>
      </c>
      <c r="B106" s="217">
        <v>140230</v>
      </c>
      <c r="C106" s="217"/>
      <c r="D106" s="217">
        <v>-5124</v>
      </c>
      <c r="E106" s="217">
        <f t="shared" si="9"/>
        <v>135106</v>
      </c>
    </row>
    <row r="107" spans="1:5" x14ac:dyDescent="0.2">
      <c r="A107" s="60" t="s">
        <v>295</v>
      </c>
      <c r="B107" s="226">
        <f>B108+B109</f>
        <v>105950</v>
      </c>
      <c r="C107" s="226">
        <f>C108+C109</f>
        <v>20286</v>
      </c>
      <c r="D107" s="226">
        <f t="shared" ref="D107" si="21">D108+D109</f>
        <v>-4478</v>
      </c>
      <c r="E107" s="226">
        <f t="shared" si="9"/>
        <v>121758</v>
      </c>
    </row>
    <row r="108" spans="1:5" x14ac:dyDescent="0.2">
      <c r="A108" s="208" t="s">
        <v>296</v>
      </c>
      <c r="B108" s="217">
        <v>84760</v>
      </c>
      <c r="C108" s="217">
        <v>2536</v>
      </c>
      <c r="D108" s="217">
        <v>-3974</v>
      </c>
      <c r="E108" s="217">
        <f t="shared" si="9"/>
        <v>83322</v>
      </c>
    </row>
    <row r="109" spans="1:5" x14ac:dyDescent="0.2">
      <c r="A109" s="208" t="s">
        <v>297</v>
      </c>
      <c r="B109" s="217">
        <v>21190</v>
      </c>
      <c r="C109" s="217">
        <v>17750</v>
      </c>
      <c r="D109" s="217">
        <v>-504</v>
      </c>
      <c r="E109" s="217">
        <f t="shared" si="9"/>
        <v>38436</v>
      </c>
    </row>
    <row r="110" spans="1:5" x14ac:dyDescent="0.2">
      <c r="A110" s="209"/>
      <c r="B110" s="217"/>
      <c r="C110" s="217"/>
      <c r="D110" s="373"/>
      <c r="E110" s="217">
        <f t="shared" si="9"/>
        <v>0</v>
      </c>
    </row>
    <row r="111" spans="1:5" x14ac:dyDescent="0.2">
      <c r="A111" s="210" t="s">
        <v>519</v>
      </c>
      <c r="B111" s="215">
        <f>B112+B116</f>
        <v>251000</v>
      </c>
      <c r="C111" s="215">
        <f>C112+C116</f>
        <v>4000</v>
      </c>
      <c r="D111" s="215">
        <f t="shared" ref="D111" si="22">D112+D116</f>
        <v>0</v>
      </c>
      <c r="E111" s="215">
        <f t="shared" si="9"/>
        <v>255000</v>
      </c>
    </row>
    <row r="112" spans="1:5" x14ac:dyDescent="0.2">
      <c r="A112" s="227" t="s">
        <v>308</v>
      </c>
      <c r="B112" s="226">
        <f>B113+B114+B115</f>
        <v>156800</v>
      </c>
      <c r="C112" s="226">
        <f>C113+C114+C115</f>
        <v>4000</v>
      </c>
      <c r="D112" s="226">
        <f t="shared" ref="D112" si="23">D113+D114+D115</f>
        <v>14718</v>
      </c>
      <c r="E112" s="226">
        <f t="shared" si="9"/>
        <v>175518</v>
      </c>
    </row>
    <row r="113" spans="1:5" x14ac:dyDescent="0.2">
      <c r="A113" s="208" t="s">
        <v>317</v>
      </c>
      <c r="B113" s="217">
        <v>78000</v>
      </c>
      <c r="C113" s="217"/>
      <c r="D113" s="217">
        <f>4000-1000</f>
        <v>3000</v>
      </c>
      <c r="E113" s="217">
        <f t="shared" si="9"/>
        <v>81000</v>
      </c>
    </row>
    <row r="114" spans="1:5" x14ac:dyDescent="0.2">
      <c r="A114" s="208" t="s">
        <v>320</v>
      </c>
      <c r="B114" s="217">
        <v>3000</v>
      </c>
      <c r="C114" s="217"/>
      <c r="D114" s="217"/>
      <c r="E114" s="217">
        <f t="shared" si="9"/>
        <v>3000</v>
      </c>
    </row>
    <row r="115" spans="1:5" x14ac:dyDescent="0.2">
      <c r="A115" s="208" t="s">
        <v>321</v>
      </c>
      <c r="B115" s="217">
        <v>75800</v>
      </c>
      <c r="C115" s="217">
        <v>4000</v>
      </c>
      <c r="D115" s="217">
        <f>13100-1382</f>
        <v>11718</v>
      </c>
      <c r="E115" s="217">
        <f t="shared" si="9"/>
        <v>91518</v>
      </c>
    </row>
    <row r="116" spans="1:5" x14ac:dyDescent="0.2">
      <c r="A116" s="210" t="s">
        <v>295</v>
      </c>
      <c r="B116" s="215">
        <f>B117+B118</f>
        <v>94200</v>
      </c>
      <c r="C116" s="215">
        <f>C117+C118</f>
        <v>0</v>
      </c>
      <c r="D116" s="215">
        <f t="shared" ref="D116" si="24">D117+D118</f>
        <v>-14718</v>
      </c>
      <c r="E116" s="215">
        <f t="shared" si="9"/>
        <v>79482</v>
      </c>
    </row>
    <row r="117" spans="1:5" x14ac:dyDescent="0.2">
      <c r="A117" s="208" t="s">
        <v>296</v>
      </c>
      <c r="B117" s="217">
        <v>70900</v>
      </c>
      <c r="C117" s="217">
        <v>-342</v>
      </c>
      <c r="D117" s="217">
        <f>-19558+3382</f>
        <v>-16176</v>
      </c>
      <c r="E117" s="217">
        <f t="shared" si="9"/>
        <v>54382</v>
      </c>
    </row>
    <row r="118" spans="1:5" x14ac:dyDescent="0.2">
      <c r="A118" s="208" t="s">
        <v>297</v>
      </c>
      <c r="B118" s="217">
        <v>23300</v>
      </c>
      <c r="C118" s="217">
        <v>342</v>
      </c>
      <c r="D118" s="217">
        <f>2458-1000</f>
        <v>1458</v>
      </c>
      <c r="E118" s="217">
        <f t="shared" si="9"/>
        <v>25100</v>
      </c>
    </row>
    <row r="119" spans="1:5" x14ac:dyDescent="0.2">
      <c r="A119" s="209"/>
      <c r="B119" s="218"/>
      <c r="D119" s="373"/>
      <c r="E119" s="218">
        <f t="shared" si="9"/>
        <v>0</v>
      </c>
    </row>
    <row r="120" spans="1:5" x14ac:dyDescent="0.2">
      <c r="A120" s="211" t="s">
        <v>328</v>
      </c>
      <c r="B120" s="213">
        <f>B122+B132+B140+B146+B159+B175+B187+B200+B208</f>
        <v>4466800</v>
      </c>
      <c r="C120" s="213">
        <f>C122+C132+C140+C146+C159+C175+C187+C200+C208</f>
        <v>91700</v>
      </c>
      <c r="D120" s="213">
        <f>D122+D132+D140+D146+D159+D175+D187+D200+D208</f>
        <v>440440</v>
      </c>
      <c r="E120" s="213">
        <f t="shared" si="9"/>
        <v>4998940</v>
      </c>
    </row>
    <row r="121" spans="1:5" x14ac:dyDescent="0.2">
      <c r="A121" s="219"/>
      <c r="B121" s="220"/>
      <c r="C121" s="220"/>
      <c r="D121" s="220"/>
      <c r="E121" s="220">
        <f t="shared" si="9"/>
        <v>0</v>
      </c>
    </row>
    <row r="122" spans="1:5" x14ac:dyDescent="0.2">
      <c r="A122" s="210" t="s">
        <v>329</v>
      </c>
      <c r="B122" s="226">
        <f>B125+B128</f>
        <v>77100</v>
      </c>
      <c r="C122" s="226">
        <f>C125+C128+C123</f>
        <v>800</v>
      </c>
      <c r="D122" s="226">
        <f>D123+D125+D128</f>
        <v>-7900</v>
      </c>
      <c r="E122" s="226">
        <f t="shared" si="9"/>
        <v>70000</v>
      </c>
    </row>
    <row r="123" spans="1:5" x14ac:dyDescent="0.2">
      <c r="A123" s="4" t="s">
        <v>310</v>
      </c>
      <c r="B123" s="226"/>
      <c r="C123" s="215">
        <f>C124</f>
        <v>800</v>
      </c>
      <c r="D123" s="226">
        <f>D124</f>
        <v>100</v>
      </c>
      <c r="E123" s="226">
        <f t="shared" si="9"/>
        <v>900</v>
      </c>
    </row>
    <row r="124" spans="1:5" x14ac:dyDescent="0.2">
      <c r="A124" s="277" t="s">
        <v>335</v>
      </c>
      <c r="B124" s="226"/>
      <c r="C124" s="217">
        <v>800</v>
      </c>
      <c r="D124" s="226">
        <v>100</v>
      </c>
      <c r="E124" s="226">
        <f t="shared" si="9"/>
        <v>900</v>
      </c>
    </row>
    <row r="125" spans="1:5" x14ac:dyDescent="0.2">
      <c r="A125" s="210" t="s">
        <v>295</v>
      </c>
      <c r="B125" s="215">
        <f>B126+B127</f>
        <v>64100</v>
      </c>
      <c r="C125" s="215">
        <f>C126+C127</f>
        <v>0</v>
      </c>
      <c r="D125" s="215"/>
      <c r="E125" s="215">
        <f t="shared" si="9"/>
        <v>64100</v>
      </c>
    </row>
    <row r="126" spans="1:5" x14ac:dyDescent="0.2">
      <c r="A126" s="208" t="s">
        <v>296</v>
      </c>
      <c r="B126" s="217">
        <v>62000</v>
      </c>
      <c r="C126" s="217"/>
      <c r="D126" s="217"/>
      <c r="E126" s="217">
        <f t="shared" si="9"/>
        <v>62000</v>
      </c>
    </row>
    <row r="127" spans="1:5" x14ac:dyDescent="0.2">
      <c r="A127" s="208" t="s">
        <v>297</v>
      </c>
      <c r="B127" s="217">
        <v>2100</v>
      </c>
      <c r="C127" s="217"/>
      <c r="D127" s="217"/>
      <c r="E127" s="217">
        <f t="shared" si="9"/>
        <v>2100</v>
      </c>
    </row>
    <row r="128" spans="1:5" x14ac:dyDescent="0.2">
      <c r="A128" s="210" t="s">
        <v>299</v>
      </c>
      <c r="B128" s="215">
        <f>B129+B130</f>
        <v>13000</v>
      </c>
      <c r="C128" s="215">
        <f>C129+C130</f>
        <v>0</v>
      </c>
      <c r="D128" s="215">
        <f>D129+D130</f>
        <v>-8000</v>
      </c>
      <c r="E128" s="215">
        <f t="shared" si="9"/>
        <v>5000</v>
      </c>
    </row>
    <row r="129" spans="1:5" x14ac:dyDescent="0.2">
      <c r="A129" s="221" t="s">
        <v>330</v>
      </c>
      <c r="B129" s="222">
        <v>3000</v>
      </c>
      <c r="C129" s="222"/>
      <c r="D129" s="222">
        <v>2000</v>
      </c>
      <c r="E129" s="222">
        <f t="shared" si="9"/>
        <v>5000</v>
      </c>
    </row>
    <row r="130" spans="1:5" x14ac:dyDescent="0.2">
      <c r="A130" s="209" t="s">
        <v>339</v>
      </c>
      <c r="B130" s="218">
        <v>10000</v>
      </c>
      <c r="C130" s="218"/>
      <c r="D130" s="217">
        <v>-10000</v>
      </c>
      <c r="E130" s="218">
        <f t="shared" si="9"/>
        <v>0</v>
      </c>
    </row>
    <row r="131" spans="1:5" x14ac:dyDescent="0.2">
      <c r="A131" s="208"/>
      <c r="B131" s="217"/>
      <c r="C131" s="217"/>
      <c r="D131" s="217"/>
      <c r="E131" s="217">
        <f t="shared" ref="E131:E194" si="25">SUM(B131:D131)</f>
        <v>0</v>
      </c>
    </row>
    <row r="132" spans="1:5" x14ac:dyDescent="0.2">
      <c r="A132" s="210" t="s">
        <v>331</v>
      </c>
      <c r="B132" s="215">
        <f>B133+B137</f>
        <v>152400</v>
      </c>
      <c r="C132" s="215">
        <f>C133+C137</f>
        <v>2500</v>
      </c>
      <c r="D132" s="215">
        <f>D133+D137+D139</f>
        <v>4000</v>
      </c>
      <c r="E132" s="215">
        <f t="shared" si="25"/>
        <v>158900</v>
      </c>
    </row>
    <row r="133" spans="1:5" x14ac:dyDescent="0.2">
      <c r="A133" s="210" t="s">
        <v>310</v>
      </c>
      <c r="B133" s="215">
        <f>B134+B135+B136</f>
        <v>122500</v>
      </c>
      <c r="C133" s="215">
        <f>C134+C135+C136</f>
        <v>2500</v>
      </c>
      <c r="D133" s="215">
        <f>D134+D135</f>
        <v>3000</v>
      </c>
      <c r="E133" s="215">
        <f t="shared" si="25"/>
        <v>128000</v>
      </c>
    </row>
    <row r="134" spans="1:5" x14ac:dyDescent="0.2">
      <c r="A134" s="209" t="s">
        <v>304</v>
      </c>
      <c r="B134" s="218">
        <v>117500</v>
      </c>
      <c r="C134" s="218">
        <v>2500</v>
      </c>
      <c r="D134" s="217">
        <v>2000</v>
      </c>
      <c r="E134" s="218">
        <f t="shared" si="25"/>
        <v>122000</v>
      </c>
    </row>
    <row r="135" spans="1:5" ht="25.5" x14ac:dyDescent="0.2">
      <c r="A135" s="209" t="s">
        <v>332</v>
      </c>
      <c r="B135" s="218">
        <v>4500</v>
      </c>
      <c r="C135" s="218"/>
      <c r="D135" s="217">
        <v>1000</v>
      </c>
      <c r="E135" s="218">
        <f t="shared" si="25"/>
        <v>5500</v>
      </c>
    </row>
    <row r="136" spans="1:5" ht="25.5" x14ac:dyDescent="0.2">
      <c r="A136" s="209" t="s">
        <v>320</v>
      </c>
      <c r="B136" s="218">
        <v>500</v>
      </c>
      <c r="C136" s="218"/>
      <c r="D136" s="217"/>
      <c r="E136" s="218">
        <f t="shared" si="25"/>
        <v>500</v>
      </c>
    </row>
    <row r="137" spans="1:5" x14ac:dyDescent="0.2">
      <c r="A137" s="210" t="s">
        <v>295</v>
      </c>
      <c r="B137" s="215">
        <f>SUM(B138)</f>
        <v>29900</v>
      </c>
      <c r="C137" s="215">
        <f>SUM(C138)</f>
        <v>0</v>
      </c>
      <c r="D137" s="215">
        <f>D138</f>
        <v>1000</v>
      </c>
      <c r="E137" s="215">
        <f t="shared" si="25"/>
        <v>30900</v>
      </c>
    </row>
    <row r="138" spans="1:5" x14ac:dyDescent="0.2">
      <c r="A138" s="208" t="s">
        <v>297</v>
      </c>
      <c r="B138" s="217">
        <v>29900</v>
      </c>
      <c r="C138" s="217"/>
      <c r="D138" s="217">
        <v>1000</v>
      </c>
      <c r="E138" s="217">
        <f t="shared" si="25"/>
        <v>30900</v>
      </c>
    </row>
    <row r="139" spans="1:5" x14ac:dyDescent="0.2">
      <c r="A139" s="209"/>
      <c r="B139" s="218"/>
      <c r="C139" s="218"/>
      <c r="D139" s="217"/>
      <c r="E139" s="218">
        <f t="shared" si="25"/>
        <v>0</v>
      </c>
    </row>
    <row r="140" spans="1:5" x14ac:dyDescent="0.2">
      <c r="A140" s="228" t="s">
        <v>334</v>
      </c>
      <c r="B140" s="215">
        <f>B141</f>
        <v>26500</v>
      </c>
      <c r="C140" s="215">
        <f t="shared" ref="C140" si="26">C141</f>
        <v>2000</v>
      </c>
      <c r="D140" s="215"/>
      <c r="E140" s="215">
        <f t="shared" si="25"/>
        <v>28500</v>
      </c>
    </row>
    <row r="141" spans="1:5" x14ac:dyDescent="0.2">
      <c r="A141" s="210" t="s">
        <v>310</v>
      </c>
      <c r="B141" s="215">
        <f>B142+B143+B144</f>
        <v>26500</v>
      </c>
      <c r="C141" s="215">
        <f>C142+C143+C144</f>
        <v>2000</v>
      </c>
      <c r="D141" s="215"/>
      <c r="E141" s="215">
        <f t="shared" si="25"/>
        <v>28500</v>
      </c>
    </row>
    <row r="142" spans="1:5" x14ac:dyDescent="0.2">
      <c r="A142" s="208" t="s">
        <v>335</v>
      </c>
      <c r="B142" s="217">
        <v>25170</v>
      </c>
      <c r="C142" s="217">
        <v>2000</v>
      </c>
      <c r="D142" s="217"/>
      <c r="E142" s="217">
        <f t="shared" si="25"/>
        <v>27170</v>
      </c>
    </row>
    <row r="143" spans="1:5" x14ac:dyDescent="0.2">
      <c r="A143" s="209" t="s">
        <v>304</v>
      </c>
      <c r="B143" s="218">
        <v>960</v>
      </c>
      <c r="C143" s="218"/>
      <c r="D143" s="217"/>
      <c r="E143" s="218">
        <f t="shared" si="25"/>
        <v>960</v>
      </c>
    </row>
    <row r="144" spans="1:5" ht="25.5" x14ac:dyDescent="0.2">
      <c r="A144" s="209" t="s">
        <v>332</v>
      </c>
      <c r="B144" s="218">
        <v>370</v>
      </c>
      <c r="C144" s="218"/>
      <c r="D144" s="217"/>
      <c r="E144" s="218">
        <f t="shared" si="25"/>
        <v>370</v>
      </c>
    </row>
    <row r="145" spans="1:5" x14ac:dyDescent="0.2">
      <c r="A145" s="209"/>
      <c r="B145" s="218"/>
      <c r="C145" s="218"/>
      <c r="D145" s="217"/>
      <c r="E145" s="218">
        <f t="shared" si="25"/>
        <v>0</v>
      </c>
    </row>
    <row r="146" spans="1:5" x14ac:dyDescent="0.2">
      <c r="A146" s="210" t="s">
        <v>433</v>
      </c>
      <c r="B146" s="215">
        <f>B147+B153+B156</f>
        <v>771800</v>
      </c>
      <c r="C146" s="215">
        <f t="shared" ref="C146" si="27">C147+C153+C156</f>
        <v>-46600</v>
      </c>
      <c r="D146" s="215">
        <v>0</v>
      </c>
      <c r="E146" s="215">
        <f t="shared" si="25"/>
        <v>725200</v>
      </c>
    </row>
    <row r="147" spans="1:5" x14ac:dyDescent="0.2">
      <c r="A147" s="210" t="s">
        <v>310</v>
      </c>
      <c r="B147" s="229">
        <f>B148+B149+B150+B151+B152</f>
        <v>444200</v>
      </c>
      <c r="C147" s="229">
        <f t="shared" ref="C147" si="28">C148+C149+C150+C151+C152</f>
        <v>0</v>
      </c>
      <c r="D147" s="229">
        <f>SUM(D148:D152)</f>
        <v>14000</v>
      </c>
      <c r="E147" s="229">
        <f t="shared" si="25"/>
        <v>458200</v>
      </c>
    </row>
    <row r="148" spans="1:5" x14ac:dyDescent="0.2">
      <c r="A148" s="208" t="s">
        <v>323</v>
      </c>
      <c r="B148" s="217">
        <v>343000</v>
      </c>
      <c r="C148" s="217"/>
      <c r="D148" s="217"/>
      <c r="E148" s="217">
        <f t="shared" si="25"/>
        <v>343000</v>
      </c>
    </row>
    <row r="149" spans="1:5" x14ac:dyDescent="0.2">
      <c r="A149" s="209" t="s">
        <v>304</v>
      </c>
      <c r="B149" s="218">
        <v>16000</v>
      </c>
      <c r="C149" s="218"/>
      <c r="D149" s="217">
        <v>17000</v>
      </c>
      <c r="E149" s="218">
        <f t="shared" si="25"/>
        <v>33000</v>
      </c>
    </row>
    <row r="150" spans="1:5" ht="25.5" x14ac:dyDescent="0.2">
      <c r="A150" s="209" t="s">
        <v>332</v>
      </c>
      <c r="B150" s="218">
        <v>66000</v>
      </c>
      <c r="C150" s="218"/>
      <c r="D150" s="217">
        <v>-3000</v>
      </c>
      <c r="E150" s="218">
        <f t="shared" si="25"/>
        <v>63000</v>
      </c>
    </row>
    <row r="151" spans="1:5" ht="25.5" x14ac:dyDescent="0.2">
      <c r="A151" s="209" t="s">
        <v>320</v>
      </c>
      <c r="B151" s="218">
        <v>500</v>
      </c>
      <c r="C151" s="218"/>
      <c r="D151" s="217"/>
      <c r="E151" s="218">
        <f t="shared" si="25"/>
        <v>500</v>
      </c>
    </row>
    <row r="152" spans="1:5" x14ac:dyDescent="0.2">
      <c r="A152" s="209" t="s">
        <v>336</v>
      </c>
      <c r="B152" s="218">
        <v>18700</v>
      </c>
      <c r="C152" s="218"/>
      <c r="D152" s="217"/>
      <c r="E152" s="218">
        <f t="shared" si="25"/>
        <v>18700</v>
      </c>
    </row>
    <row r="153" spans="1:5" x14ac:dyDescent="0.2">
      <c r="A153" s="210" t="s">
        <v>295</v>
      </c>
      <c r="B153" s="215">
        <f>B154+B155</f>
        <v>7600</v>
      </c>
      <c r="C153" s="215">
        <f>C154+C155</f>
        <v>3400</v>
      </c>
      <c r="D153" s="215">
        <f>SUM(D154:D155)</f>
        <v>200</v>
      </c>
      <c r="E153" s="215">
        <f t="shared" si="25"/>
        <v>11200</v>
      </c>
    </row>
    <row r="154" spans="1:5" x14ac:dyDescent="0.2">
      <c r="A154" s="208" t="s">
        <v>296</v>
      </c>
      <c r="B154" s="217">
        <v>6900</v>
      </c>
      <c r="C154" s="217">
        <v>3400</v>
      </c>
      <c r="D154" s="217">
        <v>100</v>
      </c>
      <c r="E154" s="217">
        <f t="shared" si="25"/>
        <v>10400</v>
      </c>
    </row>
    <row r="155" spans="1:5" x14ac:dyDescent="0.2">
      <c r="A155" s="208" t="s">
        <v>297</v>
      </c>
      <c r="B155" s="217">
        <v>700</v>
      </c>
      <c r="C155" s="217"/>
      <c r="D155" s="217">
        <v>100</v>
      </c>
      <c r="E155" s="217">
        <f t="shared" si="25"/>
        <v>800</v>
      </c>
    </row>
    <row r="156" spans="1:5" x14ac:dyDescent="0.2">
      <c r="A156" s="60" t="s">
        <v>299</v>
      </c>
      <c r="B156" s="226">
        <f>B157+B158</f>
        <v>320000</v>
      </c>
      <c r="C156" s="226">
        <f>C157+C158</f>
        <v>-50000</v>
      </c>
      <c r="D156" s="226">
        <f>SUM(D157)</f>
        <v>-14200</v>
      </c>
      <c r="E156" s="226">
        <f t="shared" si="25"/>
        <v>255800</v>
      </c>
    </row>
    <row r="157" spans="1:5" x14ac:dyDescent="0.2">
      <c r="A157" s="208" t="s">
        <v>330</v>
      </c>
      <c r="B157" s="5">
        <f>11000+309000</f>
        <v>320000</v>
      </c>
      <c r="C157" s="5">
        <v>-50000</v>
      </c>
      <c r="D157" s="5">
        <f>-3000-11200</f>
        <v>-14200</v>
      </c>
      <c r="E157" s="5">
        <f t="shared" si="25"/>
        <v>255800</v>
      </c>
    </row>
    <row r="158" spans="1:5" x14ac:dyDescent="0.2">
      <c r="A158" s="209"/>
      <c r="B158" s="217"/>
      <c r="C158" s="217"/>
      <c r="D158" s="217"/>
      <c r="E158" s="217">
        <f t="shared" si="25"/>
        <v>0</v>
      </c>
    </row>
    <row r="159" spans="1:5" x14ac:dyDescent="0.2">
      <c r="A159" s="210" t="s">
        <v>434</v>
      </c>
      <c r="B159" s="215">
        <f>B160+B165+B167+B170</f>
        <v>1560400</v>
      </c>
      <c r="C159" s="215">
        <f>C160+C165+C167+C170</f>
        <v>0</v>
      </c>
      <c r="D159" s="215">
        <f>SUM(D160+D165+D167+D170)</f>
        <v>253340</v>
      </c>
      <c r="E159" s="215">
        <f t="shared" si="25"/>
        <v>1813740</v>
      </c>
    </row>
    <row r="160" spans="1:5" x14ac:dyDescent="0.2">
      <c r="A160" s="210" t="s">
        <v>310</v>
      </c>
      <c r="B160" s="215">
        <f>SUM(B161:B164)</f>
        <v>1078700</v>
      </c>
      <c r="C160" s="215">
        <f>SUM(C161:C164)</f>
        <v>-20700</v>
      </c>
      <c r="D160" s="215">
        <f>SUM(D161:D164)</f>
        <v>221140</v>
      </c>
      <c r="E160" s="215">
        <f t="shared" si="25"/>
        <v>1279140</v>
      </c>
    </row>
    <row r="161" spans="1:5" x14ac:dyDescent="0.2">
      <c r="A161" s="208" t="s">
        <v>323</v>
      </c>
      <c r="B161" s="217">
        <v>938300</v>
      </c>
      <c r="C161" s="217"/>
      <c r="D161" s="217">
        <f>173000+23700</f>
        <v>196700</v>
      </c>
      <c r="E161" s="217">
        <f t="shared" si="25"/>
        <v>1135000</v>
      </c>
    </row>
    <row r="162" spans="1:5" x14ac:dyDescent="0.2">
      <c r="A162" s="209" t="s">
        <v>304</v>
      </c>
      <c r="B162" s="218">
        <v>135400</v>
      </c>
      <c r="C162" s="218">
        <v>-50700</v>
      </c>
      <c r="D162" s="217">
        <f>-16100+9540</f>
        <v>-6560</v>
      </c>
      <c r="E162" s="218">
        <f t="shared" si="25"/>
        <v>78140</v>
      </c>
    </row>
    <row r="163" spans="1:5" x14ac:dyDescent="0.2">
      <c r="A163" s="209" t="s">
        <v>336</v>
      </c>
      <c r="B163" s="218">
        <v>5000</v>
      </c>
      <c r="C163" s="218"/>
      <c r="D163" s="217">
        <v>16000</v>
      </c>
      <c r="E163" s="218">
        <f t="shared" si="25"/>
        <v>21000</v>
      </c>
    </row>
    <row r="164" spans="1:5" ht="25.5" x14ac:dyDescent="0.2">
      <c r="A164" s="209" t="s">
        <v>332</v>
      </c>
      <c r="B164" s="218"/>
      <c r="C164" s="218">
        <v>30000</v>
      </c>
      <c r="D164" s="217">
        <f>10000+5000</f>
        <v>15000</v>
      </c>
      <c r="E164" s="218">
        <f t="shared" si="25"/>
        <v>45000</v>
      </c>
    </row>
    <row r="165" spans="1:5" x14ac:dyDescent="0.2">
      <c r="A165" s="224" t="s">
        <v>337</v>
      </c>
      <c r="B165" s="225">
        <f>SUM(B166)</f>
        <v>31000</v>
      </c>
      <c r="C165" s="225">
        <f t="shared" ref="C165" si="29">SUM(C166)</f>
        <v>0</v>
      </c>
      <c r="D165" s="215">
        <f>SUM(D166)</f>
        <v>11000</v>
      </c>
      <c r="E165" s="225">
        <f t="shared" si="25"/>
        <v>42000</v>
      </c>
    </row>
    <row r="166" spans="1:5" x14ac:dyDescent="0.2">
      <c r="A166" s="208" t="s">
        <v>338</v>
      </c>
      <c r="B166" s="217">
        <v>31000</v>
      </c>
      <c r="C166" s="217"/>
      <c r="D166" s="217">
        <v>11000</v>
      </c>
      <c r="E166" s="217">
        <f t="shared" si="25"/>
        <v>42000</v>
      </c>
    </row>
    <row r="167" spans="1:5" x14ac:dyDescent="0.2">
      <c r="A167" s="210" t="s">
        <v>295</v>
      </c>
      <c r="B167" s="215">
        <f>SUM(B168:B169)</f>
        <v>21600</v>
      </c>
      <c r="C167" s="215">
        <f>SUM(C168:C169)</f>
        <v>700</v>
      </c>
      <c r="D167" s="215">
        <f>SUM(D168:D169)</f>
        <v>700</v>
      </c>
      <c r="E167" s="215">
        <f t="shared" si="25"/>
        <v>23000</v>
      </c>
    </row>
    <row r="168" spans="1:5" x14ac:dyDescent="0.2">
      <c r="A168" s="208" t="s">
        <v>297</v>
      </c>
      <c r="B168" s="217">
        <v>3600</v>
      </c>
      <c r="C168" s="217"/>
      <c r="D168" s="217">
        <v>-500</v>
      </c>
      <c r="E168" s="217">
        <f t="shared" si="25"/>
        <v>3100</v>
      </c>
    </row>
    <row r="169" spans="1:5" x14ac:dyDescent="0.2">
      <c r="A169" s="208" t="s">
        <v>312</v>
      </c>
      <c r="B169" s="217">
        <v>18000</v>
      </c>
      <c r="C169" s="217">
        <v>700</v>
      </c>
      <c r="D169" s="217">
        <f>1000+200</f>
        <v>1200</v>
      </c>
      <c r="E169" s="217">
        <f t="shared" si="25"/>
        <v>19900</v>
      </c>
    </row>
    <row r="170" spans="1:5" x14ac:dyDescent="0.2">
      <c r="A170" s="210" t="s">
        <v>299</v>
      </c>
      <c r="B170" s="215">
        <f>SUM(B171:B173)</f>
        <v>429100</v>
      </c>
      <c r="C170" s="215">
        <f>SUM(C171:C173)</f>
        <v>20000</v>
      </c>
      <c r="D170" s="215">
        <f>SUM(D171:D173)</f>
        <v>20500</v>
      </c>
      <c r="E170" s="215">
        <f t="shared" si="25"/>
        <v>469600</v>
      </c>
    </row>
    <row r="171" spans="1:5" x14ac:dyDescent="0.2">
      <c r="A171" s="209" t="s">
        <v>339</v>
      </c>
      <c r="B171" s="218">
        <v>7000</v>
      </c>
      <c r="C171" s="218"/>
      <c r="D171" s="217"/>
      <c r="E171" s="218">
        <f t="shared" si="25"/>
        <v>7000</v>
      </c>
    </row>
    <row r="172" spans="1:5" x14ac:dyDescent="0.2">
      <c r="A172" s="209" t="s">
        <v>340</v>
      </c>
      <c r="B172" s="218">
        <f>522100-120000</f>
        <v>402100</v>
      </c>
      <c r="C172" s="218"/>
      <c r="D172" s="217">
        <v>-35000</v>
      </c>
      <c r="E172" s="218">
        <f t="shared" si="25"/>
        <v>367100</v>
      </c>
    </row>
    <row r="173" spans="1:5" ht="25.5" x14ac:dyDescent="0.2">
      <c r="A173" s="209" t="s">
        <v>301</v>
      </c>
      <c r="B173" s="218">
        <v>20000</v>
      </c>
      <c r="C173" s="218">
        <v>20000</v>
      </c>
      <c r="D173" s="217">
        <v>55500</v>
      </c>
      <c r="E173" s="218">
        <f t="shared" si="25"/>
        <v>95500</v>
      </c>
    </row>
    <row r="174" spans="1:5" x14ac:dyDescent="0.2">
      <c r="A174" s="209"/>
      <c r="B174" s="218"/>
      <c r="C174" s="218"/>
      <c r="D174" s="217"/>
      <c r="E174" s="218">
        <f t="shared" si="25"/>
        <v>0</v>
      </c>
    </row>
    <row r="175" spans="1:5" x14ac:dyDescent="0.2">
      <c r="A175" s="210" t="s">
        <v>435</v>
      </c>
      <c r="B175" s="215">
        <f>B176+B180+B184</f>
        <v>1080000</v>
      </c>
      <c r="C175" s="215">
        <f>C176+C180+C184</f>
        <v>110000</v>
      </c>
      <c r="D175" s="215">
        <f>D176+D180+D184</f>
        <v>134000</v>
      </c>
      <c r="E175" s="215">
        <f t="shared" si="25"/>
        <v>1324000</v>
      </c>
    </row>
    <row r="176" spans="1:5" x14ac:dyDescent="0.2">
      <c r="A176" s="210" t="s">
        <v>310</v>
      </c>
      <c r="B176" s="215">
        <f>SUM(B177:B179)</f>
        <v>984910</v>
      </c>
      <c r="C176" s="215">
        <f>SUM(C177:C179)</f>
        <v>108100</v>
      </c>
      <c r="D176" s="215">
        <f>SUM(D177:D179)</f>
        <v>135000</v>
      </c>
      <c r="E176" s="215">
        <f t="shared" si="25"/>
        <v>1228010</v>
      </c>
    </row>
    <row r="177" spans="1:5" x14ac:dyDescent="0.2">
      <c r="A177" s="208" t="s">
        <v>323</v>
      </c>
      <c r="B177" s="217">
        <v>926110</v>
      </c>
      <c r="C177" s="217">
        <v>104100</v>
      </c>
      <c r="D177" s="217">
        <v>124800</v>
      </c>
      <c r="E177" s="217">
        <f t="shared" si="25"/>
        <v>1155010</v>
      </c>
    </row>
    <row r="178" spans="1:5" x14ac:dyDescent="0.2">
      <c r="A178" s="209" t="s">
        <v>304</v>
      </c>
      <c r="B178" s="218">
        <v>36000</v>
      </c>
      <c r="C178" s="218">
        <v>4000</v>
      </c>
      <c r="D178" s="217">
        <v>4000</v>
      </c>
      <c r="E178" s="218">
        <f t="shared" si="25"/>
        <v>44000</v>
      </c>
    </row>
    <row r="179" spans="1:5" ht="25.5" x14ac:dyDescent="0.2">
      <c r="A179" s="209" t="s">
        <v>332</v>
      </c>
      <c r="B179" s="218">
        <v>22800</v>
      </c>
      <c r="C179" s="218"/>
      <c r="D179" s="217">
        <v>6200</v>
      </c>
      <c r="E179" s="218">
        <f t="shared" si="25"/>
        <v>29000</v>
      </c>
    </row>
    <row r="180" spans="1:5" x14ac:dyDescent="0.2">
      <c r="A180" s="210" t="s">
        <v>295</v>
      </c>
      <c r="B180" s="215">
        <f>SUM(B181:B182)</f>
        <v>56590</v>
      </c>
      <c r="C180" s="215">
        <f>SUM(C181:C183)</f>
        <v>400</v>
      </c>
      <c r="D180" s="215">
        <f>SUM(D181:D183)</f>
        <v>-1000</v>
      </c>
      <c r="E180" s="215">
        <f t="shared" si="25"/>
        <v>55990</v>
      </c>
    </row>
    <row r="181" spans="1:5" x14ac:dyDescent="0.2">
      <c r="A181" s="208" t="s">
        <v>296</v>
      </c>
      <c r="B181" s="217">
        <v>32990</v>
      </c>
      <c r="C181" s="217"/>
      <c r="D181" s="217"/>
      <c r="E181" s="217">
        <f t="shared" si="25"/>
        <v>32990</v>
      </c>
    </row>
    <row r="182" spans="1:5" x14ac:dyDescent="0.2">
      <c r="A182" s="208" t="s">
        <v>297</v>
      </c>
      <c r="B182" s="217">
        <v>23600</v>
      </c>
      <c r="C182" s="217">
        <v>-1600</v>
      </c>
      <c r="D182" s="217"/>
      <c r="E182" s="217">
        <f t="shared" si="25"/>
        <v>22000</v>
      </c>
    </row>
    <row r="183" spans="1:5" x14ac:dyDescent="0.2">
      <c r="A183" s="208" t="s">
        <v>312</v>
      </c>
      <c r="B183" s="217"/>
      <c r="C183" s="217">
        <v>2000</v>
      </c>
      <c r="D183" s="217">
        <v>-1000</v>
      </c>
      <c r="E183" s="217">
        <f t="shared" si="25"/>
        <v>1000</v>
      </c>
    </row>
    <row r="184" spans="1:5" x14ac:dyDescent="0.2">
      <c r="A184" s="210" t="s">
        <v>299</v>
      </c>
      <c r="B184" s="215">
        <f>SUM(B185)</f>
        <v>38500</v>
      </c>
      <c r="C184" s="215">
        <f>SUM(C185)</f>
        <v>1500</v>
      </c>
      <c r="D184" s="215">
        <f>SUM(D185)</f>
        <v>0</v>
      </c>
      <c r="E184" s="215">
        <f t="shared" si="25"/>
        <v>40000</v>
      </c>
    </row>
    <row r="185" spans="1:5" x14ac:dyDescent="0.2">
      <c r="A185" s="209" t="s">
        <v>339</v>
      </c>
      <c r="B185" s="218">
        <v>38500</v>
      </c>
      <c r="C185" s="218">
        <v>1500</v>
      </c>
      <c r="D185" s="217"/>
      <c r="E185" s="218">
        <f t="shared" si="25"/>
        <v>40000</v>
      </c>
    </row>
    <row r="186" spans="1:5" x14ac:dyDescent="0.2">
      <c r="A186" s="209"/>
      <c r="B186" s="218"/>
      <c r="C186" s="215"/>
      <c r="D186" s="217"/>
      <c r="E186" s="218">
        <f t="shared" si="25"/>
        <v>0</v>
      </c>
    </row>
    <row r="187" spans="1:5" x14ac:dyDescent="0.2">
      <c r="A187" s="210" t="s">
        <v>436</v>
      </c>
      <c r="B187" s="215">
        <f>B188+B193+B195+B197</f>
        <v>422000</v>
      </c>
      <c r="C187" s="215">
        <f>C188+C193+C195+C197</f>
        <v>30000</v>
      </c>
      <c r="D187" s="215">
        <f>D188+D193+D195+D197</f>
        <v>57000</v>
      </c>
      <c r="E187" s="215">
        <f t="shared" si="25"/>
        <v>509000</v>
      </c>
    </row>
    <row r="188" spans="1:5" x14ac:dyDescent="0.2">
      <c r="A188" s="210" t="s">
        <v>310</v>
      </c>
      <c r="B188" s="215">
        <f>B189+B190+B191+B192</f>
        <v>373000</v>
      </c>
      <c r="C188" s="215">
        <f>C189+C190+C191+C192</f>
        <v>25000</v>
      </c>
      <c r="D188" s="215">
        <f>SUM(D189:D192)</f>
        <v>40000</v>
      </c>
      <c r="E188" s="215">
        <f t="shared" si="25"/>
        <v>438000</v>
      </c>
    </row>
    <row r="189" spans="1:5" x14ac:dyDescent="0.2">
      <c r="A189" s="208" t="s">
        <v>323</v>
      </c>
      <c r="B189" s="217">
        <f>160000+35000</f>
        <v>195000</v>
      </c>
      <c r="C189" s="217"/>
      <c r="D189" s="217">
        <f>-5500+500</f>
        <v>-5000</v>
      </c>
      <c r="E189" s="217">
        <f t="shared" si="25"/>
        <v>190000</v>
      </c>
    </row>
    <row r="190" spans="1:5" x14ac:dyDescent="0.2">
      <c r="A190" s="209" t="s">
        <v>304</v>
      </c>
      <c r="B190" s="218">
        <v>43000</v>
      </c>
      <c r="C190" s="218">
        <v>25000</v>
      </c>
      <c r="D190" s="217">
        <f>15000+32000</f>
        <v>47000</v>
      </c>
      <c r="E190" s="218">
        <f t="shared" si="25"/>
        <v>115000</v>
      </c>
    </row>
    <row r="191" spans="1:5" ht="25.5" x14ac:dyDescent="0.2">
      <c r="A191" s="209" t="s">
        <v>320</v>
      </c>
      <c r="B191" s="218">
        <v>6500</v>
      </c>
      <c r="C191" s="218"/>
      <c r="D191" s="217">
        <v>-2000</v>
      </c>
      <c r="E191" s="218">
        <f t="shared" si="25"/>
        <v>4500</v>
      </c>
    </row>
    <row r="192" spans="1:5" ht="25.5" x14ac:dyDescent="0.2">
      <c r="A192" s="209" t="s">
        <v>332</v>
      </c>
      <c r="B192" s="218">
        <v>128500</v>
      </c>
      <c r="C192" s="218"/>
      <c r="D192" s="217"/>
      <c r="E192" s="218">
        <f t="shared" si="25"/>
        <v>128500</v>
      </c>
    </row>
    <row r="193" spans="1:5" x14ac:dyDescent="0.2">
      <c r="A193" s="224" t="s">
        <v>337</v>
      </c>
      <c r="B193" s="225">
        <f>B194</f>
        <v>3300</v>
      </c>
      <c r="C193" s="225">
        <f>C194</f>
        <v>2800</v>
      </c>
      <c r="D193" s="215">
        <f>SUM(D194)</f>
        <v>1400</v>
      </c>
      <c r="E193" s="225">
        <f t="shared" si="25"/>
        <v>7500</v>
      </c>
    </row>
    <row r="194" spans="1:5" x14ac:dyDescent="0.2">
      <c r="A194" s="208" t="s">
        <v>338</v>
      </c>
      <c r="B194" s="217">
        <v>3300</v>
      </c>
      <c r="C194" s="217">
        <v>2800</v>
      </c>
      <c r="D194" s="217">
        <v>1400</v>
      </c>
      <c r="E194" s="217">
        <f t="shared" si="25"/>
        <v>7500</v>
      </c>
    </row>
    <row r="195" spans="1:5" x14ac:dyDescent="0.2">
      <c r="A195" s="210" t="s">
        <v>295</v>
      </c>
      <c r="B195" s="215">
        <f>SUM(B196)</f>
        <v>5700</v>
      </c>
      <c r="C195" s="215">
        <f>SUM(C196)</f>
        <v>2200</v>
      </c>
      <c r="D195" s="215">
        <f>SUM(D196)</f>
        <v>5100</v>
      </c>
      <c r="E195" s="215">
        <f t="shared" ref="E195:E257" si="30">SUM(B195:D195)</f>
        <v>13000</v>
      </c>
    </row>
    <row r="196" spans="1:5" x14ac:dyDescent="0.2">
      <c r="A196" s="208" t="s">
        <v>297</v>
      </c>
      <c r="B196" s="217">
        <v>5700</v>
      </c>
      <c r="C196" s="217">
        <v>2200</v>
      </c>
      <c r="D196" s="217">
        <v>5100</v>
      </c>
      <c r="E196" s="217">
        <f t="shared" si="30"/>
        <v>13000</v>
      </c>
    </row>
    <row r="197" spans="1:5" x14ac:dyDescent="0.2">
      <c r="A197" s="210" t="s">
        <v>299</v>
      </c>
      <c r="B197" s="215">
        <f>SUM(B198)</f>
        <v>40000</v>
      </c>
      <c r="C197" s="215"/>
      <c r="D197" s="215">
        <f>SUM(D198)</f>
        <v>10500</v>
      </c>
      <c r="E197" s="215">
        <f t="shared" si="30"/>
        <v>50500</v>
      </c>
    </row>
    <row r="198" spans="1:5" x14ac:dyDescent="0.2">
      <c r="A198" s="209" t="s">
        <v>339</v>
      </c>
      <c r="B198" s="218">
        <f>30000+10000</f>
        <v>40000</v>
      </c>
      <c r="C198" s="217"/>
      <c r="D198" s="217">
        <f>12400-1900</f>
        <v>10500</v>
      </c>
      <c r="E198" s="218">
        <f t="shared" si="30"/>
        <v>50500</v>
      </c>
    </row>
    <row r="199" spans="1:5" x14ac:dyDescent="0.2">
      <c r="A199" s="209"/>
      <c r="B199" s="218"/>
      <c r="C199" s="215">
        <f>SUM(C200)</f>
        <v>0</v>
      </c>
      <c r="D199" s="217"/>
      <c r="E199" s="218">
        <f t="shared" si="30"/>
        <v>0</v>
      </c>
    </row>
    <row r="200" spans="1:5" x14ac:dyDescent="0.2">
      <c r="A200" s="210" t="s">
        <v>437</v>
      </c>
      <c r="B200" s="215">
        <f>B201+B205</f>
        <v>179000</v>
      </c>
      <c r="C200" s="218"/>
      <c r="D200" s="215">
        <f>SUM(D201+D205)</f>
        <v>0</v>
      </c>
      <c r="E200" s="215">
        <f t="shared" si="30"/>
        <v>179000</v>
      </c>
    </row>
    <row r="201" spans="1:5" x14ac:dyDescent="0.2">
      <c r="A201" s="210" t="s">
        <v>310</v>
      </c>
      <c r="B201" s="215">
        <f>B202+B203+B204</f>
        <v>176096</v>
      </c>
      <c r="C201" s="218"/>
      <c r="D201" s="215">
        <f>SUM(D202)</f>
        <v>-366</v>
      </c>
      <c r="E201" s="215">
        <f t="shared" si="30"/>
        <v>175730</v>
      </c>
    </row>
    <row r="202" spans="1:5" x14ac:dyDescent="0.2">
      <c r="A202" s="209" t="s">
        <v>325</v>
      </c>
      <c r="B202" s="218">
        <v>162000</v>
      </c>
      <c r="C202" s="215">
        <f>C203+C207</f>
        <v>0</v>
      </c>
      <c r="D202" s="217">
        <v>-366</v>
      </c>
      <c r="E202" s="218">
        <f t="shared" si="30"/>
        <v>161634</v>
      </c>
    </row>
    <row r="203" spans="1:5" ht="25.5" x14ac:dyDescent="0.2">
      <c r="A203" s="209" t="s">
        <v>332</v>
      </c>
      <c r="B203" s="218">
        <v>11000</v>
      </c>
      <c r="C203" s="215">
        <f>C204+C205+C206</f>
        <v>0</v>
      </c>
      <c r="D203" s="217"/>
      <c r="E203" s="218">
        <f t="shared" si="30"/>
        <v>11000</v>
      </c>
    </row>
    <row r="204" spans="1:5" x14ac:dyDescent="0.2">
      <c r="A204" s="208" t="s">
        <v>323</v>
      </c>
      <c r="B204" s="217">
        <v>3096</v>
      </c>
      <c r="C204" s="218"/>
      <c r="D204" s="217"/>
      <c r="E204" s="217">
        <f t="shared" si="30"/>
        <v>3096</v>
      </c>
    </row>
    <row r="205" spans="1:5" x14ac:dyDescent="0.2">
      <c r="A205" s="210" t="s">
        <v>295</v>
      </c>
      <c r="B205" s="71">
        <f>B206</f>
        <v>2904</v>
      </c>
      <c r="C205" s="218"/>
      <c r="D205" s="71">
        <f>SUM(D206)</f>
        <v>366</v>
      </c>
      <c r="E205" s="71">
        <f t="shared" si="30"/>
        <v>3270</v>
      </c>
    </row>
    <row r="206" spans="1:5" x14ac:dyDescent="0.2">
      <c r="A206" s="208" t="s">
        <v>296</v>
      </c>
      <c r="B206" s="217">
        <v>2904</v>
      </c>
      <c r="C206" s="217"/>
      <c r="D206" s="217">
        <v>366</v>
      </c>
      <c r="E206" s="217">
        <f t="shared" si="30"/>
        <v>3270</v>
      </c>
    </row>
    <row r="207" spans="1:5" x14ac:dyDescent="0.2">
      <c r="A207" s="209"/>
      <c r="B207" s="218"/>
      <c r="C207" s="71"/>
      <c r="D207" s="217"/>
      <c r="E207" s="218">
        <f t="shared" si="30"/>
        <v>0</v>
      </c>
    </row>
    <row r="208" spans="1:5" x14ac:dyDescent="0.2">
      <c r="A208" s="210" t="s">
        <v>438</v>
      </c>
      <c r="B208" s="215">
        <f>B209+B214</f>
        <v>197600</v>
      </c>
      <c r="C208" s="215">
        <f>C209+C214</f>
        <v>-7000</v>
      </c>
      <c r="D208" s="215"/>
      <c r="E208" s="215">
        <f t="shared" si="30"/>
        <v>190600</v>
      </c>
    </row>
    <row r="209" spans="1:5" x14ac:dyDescent="0.2">
      <c r="A209" s="210" t="s">
        <v>310</v>
      </c>
      <c r="B209" s="215">
        <f>SUM(B210:B213)</f>
        <v>135892</v>
      </c>
      <c r="C209" s="215">
        <f>SUM(C210:C213)</f>
        <v>-10000</v>
      </c>
      <c r="D209" s="215"/>
      <c r="E209" s="215">
        <f t="shared" si="30"/>
        <v>125892</v>
      </c>
    </row>
    <row r="210" spans="1:5" x14ac:dyDescent="0.2">
      <c r="A210" s="221" t="s">
        <v>335</v>
      </c>
      <c r="B210" s="222">
        <v>9000</v>
      </c>
      <c r="C210" s="222"/>
      <c r="D210" s="222"/>
      <c r="E210" s="222">
        <f t="shared" si="30"/>
        <v>9000</v>
      </c>
    </row>
    <row r="211" spans="1:5" x14ac:dyDescent="0.2">
      <c r="A211" s="221" t="s">
        <v>323</v>
      </c>
      <c r="B211" s="222">
        <v>41252</v>
      </c>
      <c r="C211" s="222">
        <f>4890-4890</f>
        <v>0</v>
      </c>
      <c r="D211" s="222"/>
      <c r="E211" s="222">
        <f t="shared" si="30"/>
        <v>41252</v>
      </c>
    </row>
    <row r="212" spans="1:5" ht="25.5" x14ac:dyDescent="0.2">
      <c r="A212" s="209" t="s">
        <v>332</v>
      </c>
      <c r="B212" s="218">
        <v>85000</v>
      </c>
      <c r="C212" s="218">
        <v>-10000</v>
      </c>
      <c r="D212" s="217"/>
      <c r="E212" s="218">
        <f t="shared" si="30"/>
        <v>75000</v>
      </c>
    </row>
    <row r="213" spans="1:5" ht="25.5" x14ac:dyDescent="0.2">
      <c r="A213" s="209" t="s">
        <v>320</v>
      </c>
      <c r="B213" s="218">
        <v>640</v>
      </c>
      <c r="C213" s="218"/>
      <c r="D213" s="217"/>
      <c r="E213" s="218">
        <f t="shared" si="30"/>
        <v>640</v>
      </c>
    </row>
    <row r="214" spans="1:5" x14ac:dyDescent="0.2">
      <c r="A214" s="210" t="s">
        <v>295</v>
      </c>
      <c r="B214" s="215">
        <f>SUM(B215:B216)</f>
        <v>61708</v>
      </c>
      <c r="C214" s="215">
        <f>SUM(C215:C216)</f>
        <v>3000</v>
      </c>
      <c r="D214" s="215"/>
      <c r="E214" s="215">
        <f t="shared" si="30"/>
        <v>64708</v>
      </c>
    </row>
    <row r="215" spans="1:5" x14ac:dyDescent="0.2">
      <c r="A215" s="208" t="s">
        <v>296</v>
      </c>
      <c r="B215" s="217">
        <v>50808</v>
      </c>
      <c r="C215" s="217"/>
      <c r="D215" s="217"/>
      <c r="E215" s="217">
        <f t="shared" si="30"/>
        <v>50808</v>
      </c>
    </row>
    <row r="216" spans="1:5" x14ac:dyDescent="0.2">
      <c r="A216" s="208" t="s">
        <v>297</v>
      </c>
      <c r="B216" s="217">
        <v>10900</v>
      </c>
      <c r="C216" s="217">
        <v>3000</v>
      </c>
      <c r="D216" s="217"/>
      <c r="E216" s="217">
        <f t="shared" si="30"/>
        <v>13900</v>
      </c>
    </row>
    <row r="217" spans="1:5" x14ac:dyDescent="0.2">
      <c r="A217" s="208"/>
      <c r="B217" s="217"/>
      <c r="C217" s="217"/>
      <c r="D217" s="373"/>
      <c r="E217" s="217">
        <f t="shared" si="30"/>
        <v>0</v>
      </c>
    </row>
    <row r="218" spans="1:5" x14ac:dyDescent="0.2">
      <c r="A218" s="211" t="s">
        <v>743</v>
      </c>
      <c r="B218" s="213">
        <f>B220+B228+B240+B252+B263+B274+B286+B293</f>
        <v>4282365</v>
      </c>
      <c r="C218" s="213">
        <f>C220+C228+C240+C252+C263+C274+C286+C293</f>
        <v>153597</v>
      </c>
      <c r="D218" s="213">
        <f>D220+D228+D240+D252+D263+D274+D286+D293</f>
        <v>163526</v>
      </c>
      <c r="E218" s="213">
        <f t="shared" si="30"/>
        <v>4599488</v>
      </c>
    </row>
    <row r="219" spans="1:5" x14ac:dyDescent="0.2">
      <c r="A219" s="208"/>
      <c r="B219" s="217"/>
      <c r="C219" s="223"/>
      <c r="D219" s="373"/>
      <c r="E219" s="217">
        <f t="shared" si="30"/>
        <v>0</v>
      </c>
    </row>
    <row r="220" spans="1:5" x14ac:dyDescent="0.2">
      <c r="A220" s="224" t="s">
        <v>414</v>
      </c>
      <c r="B220" s="225">
        <f>B221+B225</f>
        <v>31968</v>
      </c>
      <c r="C220" s="223">
        <v>-398</v>
      </c>
      <c r="D220" s="215">
        <f>D221+D225</f>
        <v>-1197</v>
      </c>
      <c r="E220" s="225">
        <f t="shared" si="30"/>
        <v>30373</v>
      </c>
    </row>
    <row r="221" spans="1:5" x14ac:dyDescent="0.2">
      <c r="A221" s="210" t="s">
        <v>311</v>
      </c>
      <c r="B221" s="215">
        <f>B222+B224</f>
        <v>22000</v>
      </c>
      <c r="C221" s="223">
        <v>0</v>
      </c>
      <c r="D221" s="215">
        <f>D222+D224+D223</f>
        <v>-1019</v>
      </c>
      <c r="E221" s="215">
        <f t="shared" si="30"/>
        <v>20981</v>
      </c>
    </row>
    <row r="222" spans="1:5" x14ac:dyDescent="0.2">
      <c r="A222" s="209" t="s">
        <v>304</v>
      </c>
      <c r="B222" s="218">
        <v>12500</v>
      </c>
      <c r="C222" s="223"/>
      <c r="D222" s="373">
        <v>345</v>
      </c>
      <c r="E222" s="218">
        <f t="shared" si="30"/>
        <v>12845</v>
      </c>
    </row>
    <row r="223" spans="1:5" x14ac:dyDescent="0.2">
      <c r="A223" s="209" t="s">
        <v>321</v>
      </c>
      <c r="B223" s="218"/>
      <c r="C223" s="223"/>
      <c r="D223" s="373">
        <v>1379</v>
      </c>
      <c r="E223" s="218">
        <f t="shared" si="30"/>
        <v>1379</v>
      </c>
    </row>
    <row r="224" spans="1:5" x14ac:dyDescent="0.2">
      <c r="A224" s="209" t="s">
        <v>322</v>
      </c>
      <c r="B224" s="218">
        <v>9500</v>
      </c>
      <c r="C224" s="223"/>
      <c r="D224" s="217">
        <v>-2743</v>
      </c>
      <c r="E224" s="218">
        <f t="shared" si="30"/>
        <v>6757</v>
      </c>
    </row>
    <row r="225" spans="1:5" x14ac:dyDescent="0.2">
      <c r="A225" s="210" t="s">
        <v>295</v>
      </c>
      <c r="B225" s="215">
        <f>B226</f>
        <v>9968</v>
      </c>
      <c r="C225" s="223">
        <v>-398</v>
      </c>
      <c r="D225" s="373">
        <f>D226</f>
        <v>-178</v>
      </c>
      <c r="E225" s="215">
        <f t="shared" si="30"/>
        <v>9392</v>
      </c>
    </row>
    <row r="226" spans="1:5" x14ac:dyDescent="0.2">
      <c r="A226" s="208" t="s">
        <v>296</v>
      </c>
      <c r="B226" s="217">
        <v>9968</v>
      </c>
      <c r="C226" s="217">
        <v>-398</v>
      </c>
      <c r="D226" s="217">
        <v>-178</v>
      </c>
      <c r="E226" s="217">
        <f t="shared" si="30"/>
        <v>9392</v>
      </c>
    </row>
    <row r="227" spans="1:5" x14ac:dyDescent="0.2">
      <c r="A227" s="208"/>
      <c r="B227" s="217"/>
      <c r="C227" s="223"/>
      <c r="D227" s="373"/>
      <c r="E227" s="217">
        <f t="shared" si="30"/>
        <v>0</v>
      </c>
    </row>
    <row r="228" spans="1:5" x14ac:dyDescent="0.2">
      <c r="A228" s="210" t="s">
        <v>415</v>
      </c>
      <c r="B228" s="215">
        <f>B229+B233+B236</f>
        <v>1318914</v>
      </c>
      <c r="C228" s="223">
        <v>11500</v>
      </c>
      <c r="D228" s="215">
        <f>D229+D233+D236</f>
        <v>25794</v>
      </c>
      <c r="E228" s="215">
        <f t="shared" si="30"/>
        <v>1356208</v>
      </c>
    </row>
    <row r="229" spans="1:5" x14ac:dyDescent="0.2">
      <c r="A229" s="210" t="s">
        <v>311</v>
      </c>
      <c r="B229" s="215">
        <f>B230+B231+B232</f>
        <v>342480</v>
      </c>
      <c r="C229" s="223">
        <v>10000</v>
      </c>
      <c r="D229" s="215">
        <f>D230+D231+D232</f>
        <v>12250</v>
      </c>
      <c r="E229" s="215">
        <f t="shared" si="30"/>
        <v>364730</v>
      </c>
    </row>
    <row r="230" spans="1:5" x14ac:dyDescent="0.2">
      <c r="A230" s="208" t="s">
        <v>734</v>
      </c>
      <c r="B230" s="217">
        <v>262730</v>
      </c>
      <c r="C230" s="223">
        <v>20000</v>
      </c>
      <c r="D230" s="372">
        <v>6000</v>
      </c>
      <c r="E230" s="217">
        <f t="shared" si="30"/>
        <v>288730</v>
      </c>
    </row>
    <row r="231" spans="1:5" x14ac:dyDescent="0.2">
      <c r="A231" s="208" t="s">
        <v>341</v>
      </c>
      <c r="B231" s="217">
        <v>24750</v>
      </c>
      <c r="C231" s="223"/>
      <c r="D231" s="217">
        <v>6250</v>
      </c>
      <c r="E231" s="217">
        <f t="shared" si="30"/>
        <v>31000</v>
      </c>
    </row>
    <row r="232" spans="1:5" x14ac:dyDescent="0.2">
      <c r="A232" s="208" t="s">
        <v>321</v>
      </c>
      <c r="B232" s="217">
        <v>55000</v>
      </c>
      <c r="C232" s="217">
        <v>-10000</v>
      </c>
      <c r="D232" s="372"/>
      <c r="E232" s="217">
        <f t="shared" si="30"/>
        <v>45000</v>
      </c>
    </row>
    <row r="233" spans="1:5" x14ac:dyDescent="0.2">
      <c r="A233" s="210" t="s">
        <v>295</v>
      </c>
      <c r="B233" s="215">
        <f>B234+B235</f>
        <v>973834</v>
      </c>
      <c r="C233" s="223">
        <v>1500</v>
      </c>
      <c r="D233" s="215">
        <f>D234+D235</f>
        <v>2947</v>
      </c>
      <c r="E233" s="215">
        <f t="shared" si="30"/>
        <v>978281</v>
      </c>
    </row>
    <row r="234" spans="1:5" x14ac:dyDescent="0.2">
      <c r="A234" s="208" t="s">
        <v>296</v>
      </c>
      <c r="B234" s="217">
        <f>12680+953224</f>
        <v>965904</v>
      </c>
      <c r="C234" s="223"/>
      <c r="D234" s="372">
        <v>1800</v>
      </c>
      <c r="E234" s="217">
        <f t="shared" si="30"/>
        <v>967704</v>
      </c>
    </row>
    <row r="235" spans="1:5" x14ac:dyDescent="0.2">
      <c r="A235" s="208" t="s">
        <v>297</v>
      </c>
      <c r="B235" s="217">
        <v>7930</v>
      </c>
      <c r="C235" s="217">
        <v>1500</v>
      </c>
      <c r="D235" s="217">
        <v>1147</v>
      </c>
      <c r="E235" s="217">
        <f t="shared" si="30"/>
        <v>10577</v>
      </c>
    </row>
    <row r="236" spans="1:5" x14ac:dyDescent="0.2">
      <c r="A236" s="210" t="s">
        <v>299</v>
      </c>
      <c r="B236" s="215">
        <f>B237</f>
        <v>2600</v>
      </c>
      <c r="C236" s="223"/>
      <c r="D236" s="215">
        <f>D237+D238</f>
        <v>10597</v>
      </c>
      <c r="E236" s="215">
        <f t="shared" si="30"/>
        <v>13197</v>
      </c>
    </row>
    <row r="237" spans="1:5" x14ac:dyDescent="0.2">
      <c r="A237" s="209" t="s">
        <v>339</v>
      </c>
      <c r="B237" s="218">
        <v>2600</v>
      </c>
      <c r="C237" s="223"/>
      <c r="D237" s="373">
        <v>-300</v>
      </c>
      <c r="E237" s="218">
        <f t="shared" si="30"/>
        <v>2300</v>
      </c>
    </row>
    <row r="238" spans="1:5" ht="25.5" x14ac:dyDescent="0.2">
      <c r="A238" s="209" t="s">
        <v>843</v>
      </c>
      <c r="B238" s="218"/>
      <c r="C238" s="223"/>
      <c r="D238" s="217">
        <v>10897</v>
      </c>
      <c r="E238" s="218">
        <f t="shared" si="30"/>
        <v>10897</v>
      </c>
    </row>
    <row r="239" spans="1:5" x14ac:dyDescent="0.2">
      <c r="A239" s="210"/>
      <c r="B239" s="215"/>
      <c r="C239" s="223"/>
      <c r="D239" s="373"/>
      <c r="E239" s="215">
        <f t="shared" si="30"/>
        <v>0</v>
      </c>
    </row>
    <row r="240" spans="1:5" x14ac:dyDescent="0.2">
      <c r="A240" s="210" t="s">
        <v>416</v>
      </c>
      <c r="B240" s="215">
        <f>B241+B245+B249</f>
        <v>1442100</v>
      </c>
      <c r="C240" s="215">
        <f>C241+C245+C249</f>
        <v>-57661</v>
      </c>
      <c r="D240" s="373"/>
      <c r="E240" s="215">
        <f t="shared" si="30"/>
        <v>1384439</v>
      </c>
    </row>
    <row r="241" spans="1:5" x14ac:dyDescent="0.2">
      <c r="A241" s="210" t="s">
        <v>311</v>
      </c>
      <c r="B241" s="215">
        <f>B242+B243+B244</f>
        <v>1355500</v>
      </c>
      <c r="C241" s="215">
        <f t="shared" ref="C241" si="31">C242+C243+C244</f>
        <v>-44000</v>
      </c>
      <c r="D241" s="373"/>
      <c r="E241" s="215">
        <f t="shared" si="30"/>
        <v>1311500</v>
      </c>
    </row>
    <row r="242" spans="1:5" x14ac:dyDescent="0.2">
      <c r="A242" s="208" t="s">
        <v>734</v>
      </c>
      <c r="B242" s="217">
        <v>1300000</v>
      </c>
      <c r="C242" s="217">
        <v>-26000</v>
      </c>
      <c r="D242" s="217">
        <v>-6000</v>
      </c>
      <c r="E242" s="217">
        <f t="shared" si="30"/>
        <v>1268000</v>
      </c>
    </row>
    <row r="243" spans="1:5" x14ac:dyDescent="0.2">
      <c r="A243" s="208" t="s">
        <v>341</v>
      </c>
      <c r="B243" s="217">
        <v>43500</v>
      </c>
      <c r="C243" s="217">
        <v>-18000</v>
      </c>
      <c r="D243" s="217">
        <v>6000</v>
      </c>
      <c r="E243" s="217">
        <f t="shared" si="30"/>
        <v>31500</v>
      </c>
    </row>
    <row r="244" spans="1:5" x14ac:dyDescent="0.2">
      <c r="A244" s="208" t="s">
        <v>321</v>
      </c>
      <c r="B244" s="217">
        <v>12000</v>
      </c>
      <c r="C244" s="223"/>
      <c r="D244" s="373"/>
      <c r="E244" s="217">
        <f t="shared" si="30"/>
        <v>12000</v>
      </c>
    </row>
    <row r="245" spans="1:5" x14ac:dyDescent="0.2">
      <c r="A245" s="210" t="s">
        <v>295</v>
      </c>
      <c r="B245" s="215">
        <f>B246+B247</f>
        <v>84600</v>
      </c>
      <c r="C245" s="215">
        <f>C246+C247+C248</f>
        <v>-19661</v>
      </c>
      <c r="D245" s="373"/>
      <c r="E245" s="215">
        <f t="shared" si="30"/>
        <v>64939</v>
      </c>
    </row>
    <row r="246" spans="1:5" x14ac:dyDescent="0.2">
      <c r="A246" s="208" t="s">
        <v>296</v>
      </c>
      <c r="B246" s="217">
        <v>39000</v>
      </c>
      <c r="C246" s="217">
        <f>-19789+7455</f>
        <v>-12334</v>
      </c>
      <c r="D246" s="373"/>
      <c r="E246" s="217">
        <f t="shared" si="30"/>
        <v>26666</v>
      </c>
    </row>
    <row r="247" spans="1:5" x14ac:dyDescent="0.2">
      <c r="A247" s="208" t="s">
        <v>297</v>
      </c>
      <c r="B247" s="217">
        <v>45600</v>
      </c>
      <c r="C247" s="223">
        <v>-7807</v>
      </c>
      <c r="D247" s="373"/>
      <c r="E247" s="217">
        <f t="shared" si="30"/>
        <v>37793</v>
      </c>
    </row>
    <row r="248" spans="1:5" x14ac:dyDescent="0.2">
      <c r="A248" s="208" t="s">
        <v>312</v>
      </c>
      <c r="B248" s="217"/>
      <c r="C248" s="217">
        <v>480</v>
      </c>
      <c r="D248" s="373"/>
      <c r="E248" s="217">
        <f t="shared" si="30"/>
        <v>480</v>
      </c>
    </row>
    <row r="249" spans="1:5" x14ac:dyDescent="0.2">
      <c r="A249" s="210" t="s">
        <v>299</v>
      </c>
      <c r="B249" s="215">
        <f>B250</f>
        <v>2000</v>
      </c>
      <c r="C249" s="215">
        <f>C250</f>
        <v>6000</v>
      </c>
      <c r="D249" s="373"/>
      <c r="E249" s="215">
        <f t="shared" si="30"/>
        <v>8000</v>
      </c>
    </row>
    <row r="250" spans="1:5" x14ac:dyDescent="0.2">
      <c r="A250" s="209" t="s">
        <v>339</v>
      </c>
      <c r="B250" s="218">
        <v>2000</v>
      </c>
      <c r="C250" s="218">
        <v>6000</v>
      </c>
      <c r="D250" s="373"/>
      <c r="E250" s="218">
        <f t="shared" si="30"/>
        <v>8000</v>
      </c>
    </row>
    <row r="251" spans="1:5" x14ac:dyDescent="0.2">
      <c r="A251" s="210"/>
      <c r="B251" s="215"/>
      <c r="C251" s="223"/>
      <c r="D251" s="373"/>
      <c r="E251" s="215">
        <f t="shared" si="30"/>
        <v>0</v>
      </c>
    </row>
    <row r="252" spans="1:5" x14ac:dyDescent="0.2">
      <c r="A252" s="210" t="s">
        <v>417</v>
      </c>
      <c r="B252" s="215">
        <f>B253+B257+B260</f>
        <v>89490</v>
      </c>
      <c r="C252" s="223"/>
      <c r="D252" s="215">
        <f>D253+D257+D260</f>
        <v>5870</v>
      </c>
      <c r="E252" s="215">
        <f t="shared" si="30"/>
        <v>95360</v>
      </c>
    </row>
    <row r="253" spans="1:5" x14ac:dyDescent="0.2">
      <c r="A253" s="210" t="s">
        <v>311</v>
      </c>
      <c r="B253" s="215">
        <f>B254+B255+B256</f>
        <v>76943</v>
      </c>
      <c r="C253" s="223"/>
      <c r="D253" s="215">
        <f>D254+D255+D256</f>
        <v>5870</v>
      </c>
      <c r="E253" s="215">
        <f t="shared" si="30"/>
        <v>82813</v>
      </c>
    </row>
    <row r="254" spans="1:5" x14ac:dyDescent="0.2">
      <c r="A254" s="208" t="s">
        <v>734</v>
      </c>
      <c r="B254" s="217">
        <v>75680</v>
      </c>
      <c r="C254" s="223"/>
      <c r="D254" s="217">
        <f>2350+2400</f>
        <v>4750</v>
      </c>
      <c r="E254" s="217">
        <f t="shared" si="30"/>
        <v>80430</v>
      </c>
    </row>
    <row r="255" spans="1:5" x14ac:dyDescent="0.2">
      <c r="A255" s="208" t="s">
        <v>341</v>
      </c>
      <c r="B255" s="217">
        <v>370</v>
      </c>
      <c r="C255" s="223"/>
      <c r="D255" s="217">
        <v>1120</v>
      </c>
      <c r="E255" s="217">
        <f t="shared" si="30"/>
        <v>1490</v>
      </c>
    </row>
    <row r="256" spans="1:5" x14ac:dyDescent="0.2">
      <c r="A256" s="208" t="s">
        <v>321</v>
      </c>
      <c r="B256" s="217">
        <v>893</v>
      </c>
      <c r="C256" s="223"/>
      <c r="D256" s="373"/>
      <c r="E256" s="217">
        <f t="shared" si="30"/>
        <v>893</v>
      </c>
    </row>
    <row r="257" spans="1:5" x14ac:dyDescent="0.2">
      <c r="A257" s="210" t="s">
        <v>342</v>
      </c>
      <c r="B257" s="215">
        <f>B258+B259</f>
        <v>1279</v>
      </c>
      <c r="C257" s="223"/>
      <c r="D257" s="373"/>
      <c r="E257" s="215">
        <f t="shared" si="30"/>
        <v>1279</v>
      </c>
    </row>
    <row r="258" spans="1:5" x14ac:dyDescent="0.2">
      <c r="A258" s="208" t="s">
        <v>343</v>
      </c>
      <c r="B258" s="217">
        <v>474</v>
      </c>
      <c r="C258" s="223"/>
      <c r="D258" s="373"/>
      <c r="E258" s="217">
        <f t="shared" ref="E258:E320" si="32">SUM(B258:D258)</f>
        <v>474</v>
      </c>
    </row>
    <row r="259" spans="1:5" x14ac:dyDescent="0.2">
      <c r="A259" s="208" t="s">
        <v>297</v>
      </c>
      <c r="B259" s="217">
        <v>805</v>
      </c>
      <c r="C259" s="223"/>
      <c r="D259" s="373"/>
      <c r="E259" s="217">
        <f t="shared" si="32"/>
        <v>805</v>
      </c>
    </row>
    <row r="260" spans="1:5" x14ac:dyDescent="0.2">
      <c r="A260" s="210" t="s">
        <v>295</v>
      </c>
      <c r="B260" s="215">
        <f>B261</f>
        <v>11268</v>
      </c>
      <c r="C260" s="223"/>
      <c r="D260" s="373"/>
      <c r="E260" s="215">
        <f t="shared" si="32"/>
        <v>11268</v>
      </c>
    </row>
    <row r="261" spans="1:5" x14ac:dyDescent="0.2">
      <c r="A261" s="208" t="s">
        <v>296</v>
      </c>
      <c r="B261" s="217">
        <v>11268</v>
      </c>
      <c r="C261" s="223"/>
      <c r="D261" s="373"/>
      <c r="E261" s="217">
        <f t="shared" si="32"/>
        <v>11268</v>
      </c>
    </row>
    <row r="262" spans="1:5" x14ac:dyDescent="0.2">
      <c r="A262" s="230"/>
      <c r="B262" s="231"/>
      <c r="C262" s="223"/>
      <c r="D262" s="373"/>
      <c r="E262" s="231">
        <f t="shared" si="32"/>
        <v>0</v>
      </c>
    </row>
    <row r="263" spans="1:5" x14ac:dyDescent="0.2">
      <c r="A263" s="224" t="s">
        <v>640</v>
      </c>
      <c r="B263" s="225">
        <f>B264+B268+B271</f>
        <v>237955</v>
      </c>
      <c r="C263" s="225">
        <f t="shared" ref="C263" si="33">C264+C268+C271</f>
        <v>7745</v>
      </c>
      <c r="D263" s="215">
        <f>D264+D268+D271</f>
        <v>4932</v>
      </c>
      <c r="E263" s="225">
        <f t="shared" si="32"/>
        <v>250632</v>
      </c>
    </row>
    <row r="264" spans="1:5" x14ac:dyDescent="0.2">
      <c r="A264" s="210" t="s">
        <v>311</v>
      </c>
      <c r="B264" s="215">
        <f>B265+B266+B267</f>
        <v>208150</v>
      </c>
      <c r="C264" s="215">
        <f t="shared" ref="C264" si="34">C265+C266+C267</f>
        <v>7745</v>
      </c>
      <c r="D264" s="215">
        <f>D265+D266+D267</f>
        <v>4932</v>
      </c>
      <c r="E264" s="215">
        <f t="shared" si="32"/>
        <v>220827</v>
      </c>
    </row>
    <row r="265" spans="1:5" x14ac:dyDescent="0.2">
      <c r="A265" s="208" t="s">
        <v>734</v>
      </c>
      <c r="B265" s="217">
        <v>206400</v>
      </c>
      <c r="C265" s="217">
        <v>7745</v>
      </c>
      <c r="D265" s="217">
        <v>5932</v>
      </c>
      <c r="E265" s="217">
        <f t="shared" si="32"/>
        <v>220077</v>
      </c>
    </row>
    <row r="266" spans="1:5" x14ac:dyDescent="0.2">
      <c r="A266" s="208" t="s">
        <v>341</v>
      </c>
      <c r="B266" s="217">
        <v>1500</v>
      </c>
      <c r="C266" s="223"/>
      <c r="D266" s="217">
        <v>-1000</v>
      </c>
      <c r="E266" s="217">
        <f t="shared" si="32"/>
        <v>500</v>
      </c>
    </row>
    <row r="267" spans="1:5" x14ac:dyDescent="0.2">
      <c r="A267" s="208" t="s">
        <v>321</v>
      </c>
      <c r="B267" s="217">
        <v>250</v>
      </c>
      <c r="C267" s="223"/>
      <c r="D267" s="373"/>
      <c r="E267" s="217">
        <f t="shared" si="32"/>
        <v>250</v>
      </c>
    </row>
    <row r="268" spans="1:5" x14ac:dyDescent="0.2">
      <c r="A268" s="210" t="s">
        <v>295</v>
      </c>
      <c r="B268" s="215">
        <f>B269+B270</f>
        <v>27805</v>
      </c>
      <c r="C268" s="223"/>
      <c r="D268" s="373"/>
      <c r="E268" s="215">
        <f t="shared" si="32"/>
        <v>27805</v>
      </c>
    </row>
    <row r="269" spans="1:5" x14ac:dyDescent="0.2">
      <c r="A269" s="208" t="s">
        <v>296</v>
      </c>
      <c r="B269" s="217">
        <v>20705</v>
      </c>
      <c r="C269" s="223"/>
      <c r="D269" s="373"/>
      <c r="E269" s="217">
        <f t="shared" si="32"/>
        <v>20705</v>
      </c>
    </row>
    <row r="270" spans="1:5" x14ac:dyDescent="0.2">
      <c r="A270" s="208" t="s">
        <v>297</v>
      </c>
      <c r="B270" s="217">
        <v>7100</v>
      </c>
      <c r="C270" s="223"/>
      <c r="D270" s="373"/>
      <c r="E270" s="217">
        <f t="shared" si="32"/>
        <v>7100</v>
      </c>
    </row>
    <row r="271" spans="1:5" x14ac:dyDescent="0.2">
      <c r="A271" s="60" t="s">
        <v>299</v>
      </c>
      <c r="B271" s="226">
        <f>B272</f>
        <v>2000</v>
      </c>
      <c r="C271" s="223"/>
      <c r="D271" s="373"/>
      <c r="E271" s="226">
        <f t="shared" si="32"/>
        <v>2000</v>
      </c>
    </row>
    <row r="272" spans="1:5" x14ac:dyDescent="0.2">
      <c r="A272" s="209" t="s">
        <v>339</v>
      </c>
      <c r="B272" s="218">
        <v>2000</v>
      </c>
      <c r="C272" s="223"/>
      <c r="D272" s="373"/>
      <c r="E272" s="218">
        <f t="shared" si="32"/>
        <v>2000</v>
      </c>
    </row>
    <row r="273" spans="1:5" x14ac:dyDescent="0.2">
      <c r="A273" s="208"/>
      <c r="B273" s="217"/>
      <c r="C273" s="223"/>
      <c r="D273" s="373"/>
      <c r="E273" s="217">
        <f t="shared" si="32"/>
        <v>0</v>
      </c>
    </row>
    <row r="274" spans="1:5" x14ac:dyDescent="0.2">
      <c r="A274" s="210" t="s">
        <v>641</v>
      </c>
      <c r="B274" s="215">
        <f>B275+B279+B282</f>
        <v>253500</v>
      </c>
      <c r="C274" s="215">
        <f t="shared" ref="C274" si="35">C275+C279+C282</f>
        <v>-18000</v>
      </c>
      <c r="D274" s="215">
        <f>D275+D279+D282</f>
        <v>0</v>
      </c>
      <c r="E274" s="215">
        <f t="shared" si="32"/>
        <v>235500</v>
      </c>
    </row>
    <row r="275" spans="1:5" x14ac:dyDescent="0.2">
      <c r="A275" s="210" t="s">
        <v>311</v>
      </c>
      <c r="B275" s="215">
        <f>B276+B277+B278</f>
        <v>198197</v>
      </c>
      <c r="C275" s="215">
        <f t="shared" ref="C275" si="36">C276+C277+C278</f>
        <v>-18000</v>
      </c>
      <c r="D275" s="215">
        <f>D276+D277+D278</f>
        <v>2200</v>
      </c>
      <c r="E275" s="215">
        <f t="shared" si="32"/>
        <v>182397</v>
      </c>
    </row>
    <row r="276" spans="1:5" x14ac:dyDescent="0.2">
      <c r="A276" s="208" t="s">
        <v>734</v>
      </c>
      <c r="B276" s="218">
        <v>158997</v>
      </c>
      <c r="C276" s="218">
        <v>-18000</v>
      </c>
      <c r="D276" s="373"/>
      <c r="E276" s="218">
        <f t="shared" si="32"/>
        <v>140997</v>
      </c>
    </row>
    <row r="277" spans="1:5" x14ac:dyDescent="0.2">
      <c r="A277" s="208" t="s">
        <v>341</v>
      </c>
      <c r="B277" s="217">
        <v>4200</v>
      </c>
      <c r="C277" s="223"/>
      <c r="D277" s="5">
        <v>2200</v>
      </c>
      <c r="E277" s="217">
        <f t="shared" si="32"/>
        <v>6400</v>
      </c>
    </row>
    <row r="278" spans="1:5" x14ac:dyDescent="0.2">
      <c r="A278" s="208" t="s">
        <v>321</v>
      </c>
      <c r="B278" s="217">
        <v>35000</v>
      </c>
      <c r="C278" s="223"/>
      <c r="D278" s="373"/>
      <c r="E278" s="217">
        <f t="shared" si="32"/>
        <v>35000</v>
      </c>
    </row>
    <row r="279" spans="1:5" x14ac:dyDescent="0.2">
      <c r="A279" s="210" t="s">
        <v>295</v>
      </c>
      <c r="B279" s="215">
        <f>B280+B281</f>
        <v>51103</v>
      </c>
      <c r="C279" s="223"/>
      <c r="D279" s="215">
        <f>D280+D281</f>
        <v>-1600</v>
      </c>
      <c r="E279" s="215">
        <f t="shared" si="32"/>
        <v>49503</v>
      </c>
    </row>
    <row r="280" spans="1:5" x14ac:dyDescent="0.2">
      <c r="A280" s="208" t="s">
        <v>296</v>
      </c>
      <c r="B280" s="217">
        <v>38803</v>
      </c>
      <c r="C280" s="223"/>
      <c r="D280" s="373"/>
      <c r="E280" s="217">
        <f t="shared" si="32"/>
        <v>38803</v>
      </c>
    </row>
    <row r="281" spans="1:5" x14ac:dyDescent="0.2">
      <c r="A281" s="208" t="s">
        <v>297</v>
      </c>
      <c r="B281" s="217">
        <v>12300</v>
      </c>
      <c r="C281" s="223"/>
      <c r="D281" s="217">
        <v>-1600</v>
      </c>
      <c r="E281" s="217">
        <f t="shared" si="32"/>
        <v>10700</v>
      </c>
    </row>
    <row r="282" spans="1:5" x14ac:dyDescent="0.2">
      <c r="A282" s="210" t="s">
        <v>299</v>
      </c>
      <c r="B282" s="215">
        <f>B283+B284</f>
        <v>4200</v>
      </c>
      <c r="C282" s="223"/>
      <c r="D282" s="215">
        <f>D283+D284</f>
        <v>-600</v>
      </c>
      <c r="E282" s="215">
        <f t="shared" si="32"/>
        <v>3600</v>
      </c>
    </row>
    <row r="283" spans="1:5" x14ac:dyDescent="0.2">
      <c r="A283" s="209" t="s">
        <v>339</v>
      </c>
      <c r="B283" s="218">
        <v>2600</v>
      </c>
      <c r="C283" s="223"/>
      <c r="D283" s="373"/>
      <c r="E283" s="218">
        <f t="shared" si="32"/>
        <v>2600</v>
      </c>
    </row>
    <row r="284" spans="1:5" x14ac:dyDescent="0.2">
      <c r="A284" s="208" t="s">
        <v>340</v>
      </c>
      <c r="B284" s="217">
        <v>1600</v>
      </c>
      <c r="C284" s="223"/>
      <c r="D284" s="217">
        <v>-600</v>
      </c>
      <c r="E284" s="217">
        <f t="shared" si="32"/>
        <v>1000</v>
      </c>
    </row>
    <row r="285" spans="1:5" x14ac:dyDescent="0.2">
      <c r="A285" s="208"/>
      <c r="B285" s="217"/>
      <c r="C285" s="223"/>
      <c r="D285" s="373"/>
      <c r="E285" s="217">
        <f t="shared" si="32"/>
        <v>0</v>
      </c>
    </row>
    <row r="286" spans="1:5" x14ac:dyDescent="0.2">
      <c r="A286" s="60" t="s">
        <v>744</v>
      </c>
      <c r="B286" s="226">
        <f>B287</f>
        <v>165843</v>
      </c>
      <c r="C286" s="226">
        <f>C287+C290</f>
        <v>-33728</v>
      </c>
      <c r="D286" s="372">
        <f>D287+D290</f>
        <v>-7554</v>
      </c>
      <c r="E286" s="226">
        <f t="shared" si="32"/>
        <v>124561</v>
      </c>
    </row>
    <row r="287" spans="1:5" x14ac:dyDescent="0.2">
      <c r="A287" s="210" t="s">
        <v>311</v>
      </c>
      <c r="B287" s="226">
        <f>B288+B289</f>
        <v>165843</v>
      </c>
      <c r="C287" s="226">
        <f>C288+C289</f>
        <v>-36933</v>
      </c>
      <c r="D287" s="372">
        <f>D288+D289</f>
        <v>-8758</v>
      </c>
      <c r="E287" s="226">
        <f t="shared" si="32"/>
        <v>120152</v>
      </c>
    </row>
    <row r="288" spans="1:5" x14ac:dyDescent="0.2">
      <c r="A288" s="208" t="s">
        <v>580</v>
      </c>
      <c r="B288" s="217">
        <f>156820-66910</f>
        <v>89910</v>
      </c>
      <c r="C288" s="223"/>
      <c r="D288" s="372"/>
      <c r="E288" s="217">
        <f t="shared" si="32"/>
        <v>89910</v>
      </c>
    </row>
    <row r="289" spans="1:5" x14ac:dyDescent="0.2">
      <c r="A289" s="208" t="s">
        <v>581</v>
      </c>
      <c r="B289" s="217">
        <f>91380-15447</f>
        <v>75933</v>
      </c>
      <c r="C289" s="217">
        <v>-36933</v>
      </c>
      <c r="D289" s="217">
        <v>-8758</v>
      </c>
      <c r="E289" s="217">
        <f t="shared" si="32"/>
        <v>30242</v>
      </c>
    </row>
    <row r="290" spans="1:5" x14ac:dyDescent="0.2">
      <c r="A290" s="210" t="s">
        <v>295</v>
      </c>
      <c r="B290" s="215">
        <f>B291</f>
        <v>0</v>
      </c>
      <c r="C290" s="215">
        <f t="shared" ref="C290" si="37">C291</f>
        <v>3205</v>
      </c>
      <c r="D290" s="372">
        <f>D291</f>
        <v>1204</v>
      </c>
      <c r="E290" s="215">
        <f t="shared" si="32"/>
        <v>4409</v>
      </c>
    </row>
    <row r="291" spans="1:5" x14ac:dyDescent="0.2">
      <c r="A291" s="208" t="s">
        <v>745</v>
      </c>
      <c r="B291" s="217"/>
      <c r="C291" s="223">
        <v>3205</v>
      </c>
      <c r="D291" s="217">
        <v>1204</v>
      </c>
      <c r="E291" s="217">
        <f t="shared" si="32"/>
        <v>4409</v>
      </c>
    </row>
    <row r="292" spans="1:5" x14ac:dyDescent="0.2">
      <c r="A292" s="208"/>
      <c r="B292" s="217"/>
      <c r="C292" s="223"/>
      <c r="D292" s="373"/>
      <c r="E292" s="217">
        <f t="shared" si="32"/>
        <v>0</v>
      </c>
    </row>
    <row r="293" spans="1:5" x14ac:dyDescent="0.2">
      <c r="A293" s="210" t="s">
        <v>642</v>
      </c>
      <c r="B293" s="217">
        <f>B294+B298+B301</f>
        <v>742595</v>
      </c>
      <c r="C293" s="217">
        <f t="shared" ref="C293" si="38">C294+C298+C301</f>
        <v>244139</v>
      </c>
      <c r="D293" s="217">
        <f>D294+D298+D301</f>
        <v>135681</v>
      </c>
      <c r="E293" s="217">
        <f t="shared" si="32"/>
        <v>1122415</v>
      </c>
    </row>
    <row r="294" spans="1:5" x14ac:dyDescent="0.2">
      <c r="A294" s="210" t="s">
        <v>311</v>
      </c>
      <c r="B294" s="71">
        <f>B295+B296+B297</f>
        <v>665000</v>
      </c>
      <c r="C294" s="71">
        <f t="shared" ref="C294" si="39">C295+C296+C297</f>
        <v>246030</v>
      </c>
      <c r="D294" s="71">
        <f>D295+D296+D297</f>
        <v>116103</v>
      </c>
      <c r="E294" s="71">
        <f t="shared" si="32"/>
        <v>1027133</v>
      </c>
    </row>
    <row r="295" spans="1:5" x14ac:dyDescent="0.2">
      <c r="A295" s="208" t="s">
        <v>734</v>
      </c>
      <c r="B295" s="217">
        <v>500000</v>
      </c>
      <c r="C295" s="217">
        <v>218170</v>
      </c>
      <c r="D295" s="217">
        <v>65395</v>
      </c>
      <c r="E295" s="217">
        <f t="shared" si="32"/>
        <v>783565</v>
      </c>
    </row>
    <row r="296" spans="1:5" x14ac:dyDescent="0.2">
      <c r="A296" s="208" t="s">
        <v>341</v>
      </c>
      <c r="B296" s="217">
        <f>5000+150000</f>
        <v>155000</v>
      </c>
      <c r="C296" s="223"/>
      <c r="D296" s="372">
        <v>20000</v>
      </c>
      <c r="E296" s="217">
        <f t="shared" si="32"/>
        <v>175000</v>
      </c>
    </row>
    <row r="297" spans="1:5" x14ac:dyDescent="0.2">
      <c r="A297" s="208" t="s">
        <v>321</v>
      </c>
      <c r="B297" s="217">
        <v>10000</v>
      </c>
      <c r="C297" s="223">
        <v>27860</v>
      </c>
      <c r="D297" s="372">
        <v>30708</v>
      </c>
      <c r="E297" s="217">
        <f t="shared" si="32"/>
        <v>68568</v>
      </c>
    </row>
    <row r="298" spans="1:5" x14ac:dyDescent="0.2">
      <c r="A298" s="210" t="s">
        <v>295</v>
      </c>
      <c r="B298" s="71">
        <f>B299+B300</f>
        <v>72795</v>
      </c>
      <c r="C298" s="71">
        <f t="shared" ref="C298" si="40">C299+C300</f>
        <v>-5211</v>
      </c>
      <c r="D298" s="71">
        <f>D299+D300</f>
        <v>3254</v>
      </c>
      <c r="E298" s="71">
        <f t="shared" si="32"/>
        <v>70838</v>
      </c>
    </row>
    <row r="299" spans="1:5" x14ac:dyDescent="0.2">
      <c r="A299" s="208" t="s">
        <v>296</v>
      </c>
      <c r="B299" s="217">
        <v>26135</v>
      </c>
      <c r="C299" s="217">
        <v>23651</v>
      </c>
      <c r="D299" s="217">
        <v>3254</v>
      </c>
      <c r="E299" s="217">
        <f t="shared" si="32"/>
        <v>53040</v>
      </c>
    </row>
    <row r="300" spans="1:5" x14ac:dyDescent="0.2">
      <c r="A300" s="208" t="s">
        <v>297</v>
      </c>
      <c r="B300" s="217">
        <v>46660</v>
      </c>
      <c r="C300" s="223">
        <v>-28862</v>
      </c>
      <c r="D300" s="373"/>
      <c r="E300" s="217">
        <f t="shared" si="32"/>
        <v>17798</v>
      </c>
    </row>
    <row r="301" spans="1:5" x14ac:dyDescent="0.2">
      <c r="A301" s="210" t="s">
        <v>299</v>
      </c>
      <c r="B301" s="71">
        <f>B302</f>
        <v>4800</v>
      </c>
      <c r="C301" s="71">
        <f t="shared" ref="C301" si="41">C302</f>
        <v>3320</v>
      </c>
      <c r="D301" s="71">
        <f>D302+D303</f>
        <v>16324</v>
      </c>
      <c r="E301" s="71">
        <f t="shared" si="32"/>
        <v>24444</v>
      </c>
    </row>
    <row r="302" spans="1:5" x14ac:dyDescent="0.2">
      <c r="A302" s="209" t="s">
        <v>339</v>
      </c>
      <c r="B302" s="217">
        <v>4800</v>
      </c>
      <c r="C302" s="223">
        <v>3320</v>
      </c>
      <c r="D302" s="372">
        <v>6324</v>
      </c>
      <c r="E302" s="217">
        <f t="shared" si="32"/>
        <v>14444</v>
      </c>
    </row>
    <row r="303" spans="1:5" x14ac:dyDescent="0.2">
      <c r="A303" s="351" t="s">
        <v>340</v>
      </c>
      <c r="B303" s="217"/>
      <c r="C303" s="223"/>
      <c r="D303" s="226">
        <v>10000</v>
      </c>
      <c r="E303" s="217">
        <f t="shared" si="32"/>
        <v>10000</v>
      </c>
    </row>
    <row r="304" spans="1:5" x14ac:dyDescent="0.2">
      <c r="A304" s="209"/>
      <c r="B304" s="217"/>
      <c r="D304" s="373"/>
      <c r="E304" s="217">
        <f t="shared" si="32"/>
        <v>0</v>
      </c>
    </row>
    <row r="305" spans="1:5" x14ac:dyDescent="0.2">
      <c r="A305" s="211" t="s">
        <v>344</v>
      </c>
      <c r="B305" s="213">
        <f>B307+B313+B322+B330+B337+B349+B365+B371</f>
        <v>2371489</v>
      </c>
      <c r="C305" s="18">
        <f>C307+C313+C322+C330+C337+C349+C365+C371</f>
        <v>49790</v>
      </c>
      <c r="D305" s="12">
        <f>D307+D313+D322+D330+D337+D349+D365+D371+D360</f>
        <v>75321</v>
      </c>
      <c r="E305" s="213">
        <f t="shared" si="32"/>
        <v>2496600</v>
      </c>
    </row>
    <row r="306" spans="1:5" x14ac:dyDescent="0.2">
      <c r="A306" s="210"/>
      <c r="B306" s="215"/>
      <c r="D306" s="372"/>
      <c r="E306" s="215">
        <f t="shared" si="32"/>
        <v>0</v>
      </c>
    </row>
    <row r="307" spans="1:5" x14ac:dyDescent="0.2">
      <c r="A307" s="210" t="s">
        <v>345</v>
      </c>
      <c r="B307" s="215">
        <f>B308</f>
        <v>69057</v>
      </c>
      <c r="C307" s="60">
        <f>C308</f>
        <v>0</v>
      </c>
      <c r="D307" s="372">
        <f>D308</f>
        <v>0</v>
      </c>
      <c r="E307" s="215">
        <f t="shared" si="32"/>
        <v>69057</v>
      </c>
    </row>
    <row r="308" spans="1:5" x14ac:dyDescent="0.2">
      <c r="A308" s="210" t="s">
        <v>295</v>
      </c>
      <c r="B308" s="215">
        <f>B309+B310+B311</f>
        <v>69057</v>
      </c>
      <c r="C308" s="60">
        <f>C309+C310+C311</f>
        <v>0</v>
      </c>
      <c r="D308" s="372">
        <f>D309+D310+D311</f>
        <v>0</v>
      </c>
      <c r="E308" s="215">
        <f t="shared" si="32"/>
        <v>69057</v>
      </c>
    </row>
    <row r="309" spans="1:5" ht="23.25" customHeight="1" x14ac:dyDescent="0.2">
      <c r="A309" s="208" t="s">
        <v>296</v>
      </c>
      <c r="B309" s="217">
        <v>59635</v>
      </c>
      <c r="C309" s="286"/>
      <c r="D309" s="375"/>
      <c r="E309" s="217">
        <f t="shared" si="32"/>
        <v>59635</v>
      </c>
    </row>
    <row r="310" spans="1:5" x14ac:dyDescent="0.2">
      <c r="A310" s="208" t="s">
        <v>297</v>
      </c>
      <c r="B310" s="217">
        <v>8512</v>
      </c>
      <c r="C310" s="286"/>
      <c r="D310" s="375"/>
      <c r="E310" s="217">
        <f t="shared" si="32"/>
        <v>8512</v>
      </c>
    </row>
    <row r="311" spans="1:5" x14ac:dyDescent="0.2">
      <c r="A311" s="208" t="s">
        <v>313</v>
      </c>
      <c r="B311" s="217">
        <v>910</v>
      </c>
      <c r="C311" s="286"/>
      <c r="D311" s="375"/>
      <c r="E311" s="217">
        <f t="shared" si="32"/>
        <v>910</v>
      </c>
    </row>
    <row r="312" spans="1:5" x14ac:dyDescent="0.2">
      <c r="A312" s="210"/>
      <c r="B312" s="215"/>
      <c r="D312" s="372"/>
      <c r="E312" s="215">
        <f t="shared" si="32"/>
        <v>0</v>
      </c>
    </row>
    <row r="313" spans="1:5" x14ac:dyDescent="0.2">
      <c r="A313" s="210" t="s">
        <v>347</v>
      </c>
      <c r="B313" s="215">
        <f>B314+B318</f>
        <v>103735</v>
      </c>
      <c r="C313" s="60">
        <f>C314+C318</f>
        <v>0</v>
      </c>
      <c r="D313" s="372">
        <f>D314+D318</f>
        <v>8000</v>
      </c>
      <c r="E313" s="215">
        <f t="shared" si="32"/>
        <v>111735</v>
      </c>
    </row>
    <row r="314" spans="1:5" x14ac:dyDescent="0.2">
      <c r="A314" s="210" t="s">
        <v>348</v>
      </c>
      <c r="B314" s="215">
        <f>B315+B316+B317</f>
        <v>91600</v>
      </c>
      <c r="C314" s="60">
        <f>C315+C316+C317</f>
        <v>0</v>
      </c>
      <c r="D314" s="372">
        <f>D315+D316+D317</f>
        <v>8000</v>
      </c>
      <c r="E314" s="215">
        <f t="shared" si="32"/>
        <v>99600</v>
      </c>
    </row>
    <row r="315" spans="1:5" ht="23.25" customHeight="1" x14ac:dyDescent="0.2">
      <c r="A315" s="209" t="s">
        <v>349</v>
      </c>
      <c r="B315" s="218">
        <v>52000</v>
      </c>
      <c r="C315" s="286"/>
      <c r="D315" s="375">
        <v>4600</v>
      </c>
      <c r="E315" s="218">
        <f t="shared" si="32"/>
        <v>56600</v>
      </c>
    </row>
    <row r="316" spans="1:5" x14ac:dyDescent="0.2">
      <c r="A316" s="209" t="s">
        <v>350</v>
      </c>
      <c r="B316" s="218">
        <v>37000</v>
      </c>
      <c r="C316" s="286"/>
      <c r="D316" s="375">
        <v>3000</v>
      </c>
      <c r="E316" s="218">
        <f t="shared" si="32"/>
        <v>40000</v>
      </c>
    </row>
    <row r="317" spans="1:5" x14ac:dyDescent="0.2">
      <c r="A317" s="209" t="s">
        <v>351</v>
      </c>
      <c r="B317" s="218">
        <v>2600</v>
      </c>
      <c r="C317" s="286"/>
      <c r="D317" s="375">
        <v>400</v>
      </c>
      <c r="E317" s="218">
        <f t="shared" si="32"/>
        <v>3000</v>
      </c>
    </row>
    <row r="318" spans="1:5" x14ac:dyDescent="0.2">
      <c r="A318" s="224" t="s">
        <v>295</v>
      </c>
      <c r="B318" s="225">
        <f>B319+B320</f>
        <v>12135</v>
      </c>
      <c r="C318" s="60">
        <f>C319+C320</f>
        <v>0</v>
      </c>
      <c r="D318" s="372">
        <f>D319+D320</f>
        <v>0</v>
      </c>
      <c r="E318" s="225">
        <f t="shared" si="32"/>
        <v>12135</v>
      </c>
    </row>
    <row r="319" spans="1:5" x14ac:dyDescent="0.2">
      <c r="A319" s="209" t="s">
        <v>297</v>
      </c>
      <c r="B319" s="218">
        <v>9100</v>
      </c>
      <c r="C319" s="286"/>
      <c r="D319" s="375"/>
      <c r="E319" s="218">
        <f t="shared" si="32"/>
        <v>9100</v>
      </c>
    </row>
    <row r="320" spans="1:5" x14ac:dyDescent="0.2">
      <c r="A320" s="209" t="s">
        <v>296</v>
      </c>
      <c r="B320" s="218">
        <v>3035</v>
      </c>
      <c r="C320" s="286"/>
      <c r="D320" s="375"/>
      <c r="E320" s="218">
        <f t="shared" si="32"/>
        <v>3035</v>
      </c>
    </row>
    <row r="321" spans="1:5" x14ac:dyDescent="0.2">
      <c r="A321" s="209"/>
      <c r="B321" s="218"/>
      <c r="D321" s="372"/>
      <c r="E321" s="218">
        <f t="shared" ref="E321:E384" si="42">SUM(B321:D321)</f>
        <v>0</v>
      </c>
    </row>
    <row r="322" spans="1:5" x14ac:dyDescent="0.2">
      <c r="A322" s="224" t="s">
        <v>352</v>
      </c>
      <c r="B322" s="225">
        <f>B323+B326</f>
        <v>211815</v>
      </c>
      <c r="C322" s="223">
        <f>C323+C326</f>
        <v>45830</v>
      </c>
      <c r="D322" s="372">
        <f>D323+D326</f>
        <v>0</v>
      </c>
      <c r="E322" s="225">
        <f t="shared" si="42"/>
        <v>257645</v>
      </c>
    </row>
    <row r="323" spans="1:5" x14ac:dyDescent="0.2">
      <c r="A323" s="210" t="s">
        <v>348</v>
      </c>
      <c r="B323" s="215">
        <f>B324</f>
        <v>193699</v>
      </c>
      <c r="C323" s="223">
        <f>C324+C325</f>
        <v>45830</v>
      </c>
      <c r="D323" s="372">
        <f>D324+D325</f>
        <v>0</v>
      </c>
      <c r="E323" s="215">
        <f t="shared" si="42"/>
        <v>239529</v>
      </c>
    </row>
    <row r="324" spans="1:5" x14ac:dyDescent="0.2">
      <c r="A324" s="208" t="s">
        <v>349</v>
      </c>
      <c r="B324" s="217">
        <v>193699</v>
      </c>
      <c r="C324" s="13">
        <v>42545</v>
      </c>
      <c r="D324" s="375"/>
      <c r="E324" s="217">
        <f t="shared" si="42"/>
        <v>236244</v>
      </c>
    </row>
    <row r="325" spans="1:5" x14ac:dyDescent="0.2">
      <c r="A325" s="208" t="s">
        <v>350</v>
      </c>
      <c r="B325" s="217"/>
      <c r="C325" s="13">
        <v>3285</v>
      </c>
      <c r="D325" s="375"/>
      <c r="E325" s="217">
        <f t="shared" si="42"/>
        <v>3285</v>
      </c>
    </row>
    <row r="326" spans="1:5" x14ac:dyDescent="0.2">
      <c r="A326" s="224" t="s">
        <v>295</v>
      </c>
      <c r="B326" s="225">
        <f>B327+B328</f>
        <v>18116</v>
      </c>
      <c r="C326" s="60">
        <f>C327+C328</f>
        <v>0</v>
      </c>
      <c r="D326" s="372">
        <f>D327+D328</f>
        <v>0</v>
      </c>
      <c r="E326" s="225">
        <f t="shared" si="42"/>
        <v>18116</v>
      </c>
    </row>
    <row r="327" spans="1:5" x14ac:dyDescent="0.2">
      <c r="A327" s="209" t="s">
        <v>297</v>
      </c>
      <c r="B327" s="218">
        <v>14100</v>
      </c>
      <c r="C327" s="286"/>
      <c r="D327" s="375"/>
      <c r="E327" s="218">
        <f t="shared" si="42"/>
        <v>14100</v>
      </c>
    </row>
    <row r="328" spans="1:5" x14ac:dyDescent="0.2">
      <c r="A328" s="209" t="s">
        <v>296</v>
      </c>
      <c r="B328" s="218">
        <v>4016</v>
      </c>
      <c r="C328" s="286"/>
      <c r="D328" s="375"/>
      <c r="E328" s="218">
        <f t="shared" si="42"/>
        <v>4016</v>
      </c>
    </row>
    <row r="329" spans="1:5" x14ac:dyDescent="0.2">
      <c r="A329" s="210"/>
      <c r="B329" s="215"/>
      <c r="D329" s="372"/>
      <c r="E329" s="215">
        <f t="shared" si="42"/>
        <v>0</v>
      </c>
    </row>
    <row r="330" spans="1:5" x14ac:dyDescent="0.2">
      <c r="A330" s="210" t="s">
        <v>353</v>
      </c>
      <c r="B330" s="215">
        <f>B331</f>
        <v>23100</v>
      </c>
      <c r="C330" s="223">
        <f>C331</f>
        <v>2175</v>
      </c>
      <c r="D330" s="372">
        <f>D331+D334</f>
        <v>13271</v>
      </c>
      <c r="E330" s="215">
        <f t="shared" si="42"/>
        <v>38546</v>
      </c>
    </row>
    <row r="331" spans="1:5" x14ac:dyDescent="0.2">
      <c r="A331" s="210" t="s">
        <v>348</v>
      </c>
      <c r="B331" s="215">
        <f>B332</f>
        <v>23100</v>
      </c>
      <c r="C331" s="223">
        <f>C332+C333</f>
        <v>2175</v>
      </c>
      <c r="D331" s="372">
        <f>D332+D333</f>
        <v>8051</v>
      </c>
      <c r="E331" s="215">
        <f t="shared" si="42"/>
        <v>33326</v>
      </c>
    </row>
    <row r="332" spans="1:5" x14ac:dyDescent="0.2">
      <c r="A332" s="209" t="s">
        <v>356</v>
      </c>
      <c r="B332" s="218">
        <v>23100</v>
      </c>
      <c r="C332" s="13"/>
      <c r="D332" s="375">
        <v>4320</v>
      </c>
      <c r="E332" s="218">
        <f t="shared" si="42"/>
        <v>27420</v>
      </c>
    </row>
    <row r="333" spans="1:5" x14ac:dyDescent="0.2">
      <c r="A333" s="209" t="s">
        <v>746</v>
      </c>
      <c r="B333" s="218"/>
      <c r="C333" s="13">
        <v>2175</v>
      </c>
      <c r="D333" s="375">
        <v>3731</v>
      </c>
      <c r="E333" s="218">
        <f t="shared" si="42"/>
        <v>5906</v>
      </c>
    </row>
    <row r="334" spans="1:5" x14ac:dyDescent="0.2">
      <c r="A334" s="210" t="s">
        <v>299</v>
      </c>
      <c r="B334" s="218"/>
      <c r="C334" s="13"/>
      <c r="D334" s="11">
        <f>D335</f>
        <v>5220</v>
      </c>
      <c r="E334" s="218">
        <f t="shared" si="42"/>
        <v>5220</v>
      </c>
    </row>
    <row r="335" spans="1:5" ht="25.5" x14ac:dyDescent="0.2">
      <c r="A335" s="209" t="s">
        <v>301</v>
      </c>
      <c r="B335" s="218"/>
      <c r="C335" s="13"/>
      <c r="D335" s="375">
        <v>5220</v>
      </c>
      <c r="E335" s="218">
        <f t="shared" si="42"/>
        <v>5220</v>
      </c>
    </row>
    <row r="336" spans="1:5" x14ac:dyDescent="0.2">
      <c r="A336" s="210"/>
      <c r="B336" s="215"/>
      <c r="D336" s="372"/>
      <c r="E336" s="215">
        <f t="shared" si="42"/>
        <v>0</v>
      </c>
    </row>
    <row r="337" spans="1:5" x14ac:dyDescent="0.2">
      <c r="A337" s="210" t="s">
        <v>354</v>
      </c>
      <c r="B337" s="215">
        <f>B338+B341</f>
        <v>1563300</v>
      </c>
      <c r="C337" s="60">
        <f>C338+C341</f>
        <v>0</v>
      </c>
      <c r="D337" s="372">
        <f>D338+D341+D344+D346</f>
        <v>37000</v>
      </c>
      <c r="E337" s="215">
        <f t="shared" si="42"/>
        <v>1600300</v>
      </c>
    </row>
    <row r="338" spans="1:5" x14ac:dyDescent="0.2">
      <c r="A338" s="210" t="s">
        <v>295</v>
      </c>
      <c r="B338" s="215">
        <f>B339+B340</f>
        <v>6040</v>
      </c>
      <c r="C338" s="60">
        <f>C339+C340</f>
        <v>0</v>
      </c>
      <c r="D338" s="372">
        <f>D339+D340</f>
        <v>0</v>
      </c>
      <c r="E338" s="215">
        <f t="shared" si="42"/>
        <v>6040</v>
      </c>
    </row>
    <row r="339" spans="1:5" x14ac:dyDescent="0.2">
      <c r="A339" s="208" t="s">
        <v>296</v>
      </c>
      <c r="B339" s="217">
        <v>4140</v>
      </c>
      <c r="C339" s="286"/>
      <c r="D339" s="375"/>
      <c r="E339" s="217">
        <f t="shared" si="42"/>
        <v>4140</v>
      </c>
    </row>
    <row r="340" spans="1:5" x14ac:dyDescent="0.2">
      <c r="A340" s="208" t="s">
        <v>297</v>
      </c>
      <c r="B340" s="217">
        <v>1900</v>
      </c>
      <c r="C340" s="286"/>
      <c r="D340" s="375"/>
      <c r="E340" s="217">
        <f t="shared" si="42"/>
        <v>1900</v>
      </c>
    </row>
    <row r="341" spans="1:5" x14ac:dyDescent="0.2">
      <c r="A341" s="210" t="s">
        <v>348</v>
      </c>
      <c r="B341" s="215">
        <f>B342+B343</f>
        <v>1557260</v>
      </c>
      <c r="C341" s="60">
        <f>C342+C343</f>
        <v>0</v>
      </c>
      <c r="D341" s="372">
        <f>D342+D343</f>
        <v>36940</v>
      </c>
      <c r="E341" s="215">
        <f t="shared" si="42"/>
        <v>1594200</v>
      </c>
    </row>
    <row r="342" spans="1:5" x14ac:dyDescent="0.2">
      <c r="A342" s="209" t="s">
        <v>349</v>
      </c>
      <c r="B342" s="218">
        <f>1481660+47600</f>
        <v>1529260</v>
      </c>
      <c r="C342" s="286"/>
      <c r="D342" s="375">
        <v>36940</v>
      </c>
      <c r="E342" s="218">
        <f t="shared" si="42"/>
        <v>1566200</v>
      </c>
    </row>
    <row r="343" spans="1:5" x14ac:dyDescent="0.2">
      <c r="A343" s="209" t="s">
        <v>350</v>
      </c>
      <c r="B343" s="218">
        <f>25000+3000</f>
        <v>28000</v>
      </c>
      <c r="C343" s="286"/>
      <c r="D343" s="375"/>
      <c r="E343" s="218">
        <f t="shared" si="42"/>
        <v>28000</v>
      </c>
    </row>
    <row r="344" spans="1:5" x14ac:dyDescent="0.2">
      <c r="A344" s="212" t="s">
        <v>299</v>
      </c>
      <c r="B344" s="218"/>
      <c r="C344" s="286"/>
      <c r="D344" s="11">
        <f>D345</f>
        <v>14</v>
      </c>
      <c r="E344" s="218">
        <f t="shared" si="42"/>
        <v>14</v>
      </c>
    </row>
    <row r="345" spans="1:5" ht="25.5" x14ac:dyDescent="0.2">
      <c r="A345" s="209" t="s">
        <v>301</v>
      </c>
      <c r="B345" s="218"/>
      <c r="C345" s="286"/>
      <c r="D345" s="375">
        <v>14</v>
      </c>
      <c r="E345" s="218">
        <f t="shared" si="42"/>
        <v>14</v>
      </c>
    </row>
    <row r="346" spans="1:5" x14ac:dyDescent="0.2">
      <c r="A346" s="376" t="s">
        <v>346</v>
      </c>
      <c r="B346" s="218"/>
      <c r="C346" s="286"/>
      <c r="D346" s="11">
        <f>D347</f>
        <v>46</v>
      </c>
      <c r="E346" s="218">
        <f t="shared" si="42"/>
        <v>46</v>
      </c>
    </row>
    <row r="347" spans="1:5" x14ac:dyDescent="0.2">
      <c r="A347" s="209" t="s">
        <v>841</v>
      </c>
      <c r="B347" s="218"/>
      <c r="C347" s="286"/>
      <c r="D347" s="375">
        <v>46</v>
      </c>
      <c r="E347" s="218">
        <f t="shared" si="42"/>
        <v>46</v>
      </c>
    </row>
    <row r="348" spans="1:5" x14ac:dyDescent="0.2">
      <c r="A348" s="210"/>
      <c r="B348" s="215"/>
      <c r="D348" s="372"/>
      <c r="E348" s="215">
        <f t="shared" si="42"/>
        <v>0</v>
      </c>
    </row>
    <row r="349" spans="1:5" x14ac:dyDescent="0.2">
      <c r="A349" s="210" t="s">
        <v>355</v>
      </c>
      <c r="B349" s="215">
        <f>B350+B354+B356</f>
        <v>100092</v>
      </c>
      <c r="C349" s="60">
        <f>C350+C354+C356</f>
        <v>0</v>
      </c>
      <c r="D349" s="372">
        <f>D350+D354+D356</f>
        <v>0</v>
      </c>
      <c r="E349" s="215">
        <f t="shared" si="42"/>
        <v>100092</v>
      </c>
    </row>
    <row r="350" spans="1:5" x14ac:dyDescent="0.2">
      <c r="A350" s="210" t="s">
        <v>348</v>
      </c>
      <c r="B350" s="215">
        <f>B351+B352+B353</f>
        <v>71310</v>
      </c>
      <c r="C350" s="60">
        <f>C351+C352+C353</f>
        <v>0</v>
      </c>
      <c r="D350" s="372">
        <f>D351+D352+D353</f>
        <v>-2000</v>
      </c>
      <c r="E350" s="215">
        <f t="shared" si="42"/>
        <v>69310</v>
      </c>
    </row>
    <row r="351" spans="1:5" x14ac:dyDescent="0.2">
      <c r="A351" s="209" t="s">
        <v>349</v>
      </c>
      <c r="B351" s="218">
        <v>14830</v>
      </c>
      <c r="C351" s="286"/>
      <c r="D351" s="375">
        <v>-2000</v>
      </c>
      <c r="E351" s="218">
        <f t="shared" si="42"/>
        <v>12830</v>
      </c>
    </row>
    <row r="352" spans="1:5" x14ac:dyDescent="0.2">
      <c r="A352" s="209" t="s">
        <v>350</v>
      </c>
      <c r="B352" s="218">
        <v>50000</v>
      </c>
      <c r="C352" s="286"/>
      <c r="D352" s="375"/>
      <c r="E352" s="218">
        <f t="shared" si="42"/>
        <v>50000</v>
      </c>
    </row>
    <row r="353" spans="1:5" x14ac:dyDescent="0.2">
      <c r="A353" s="209" t="s">
        <v>356</v>
      </c>
      <c r="B353" s="218">
        <v>6480</v>
      </c>
      <c r="C353" s="286"/>
      <c r="D353" s="375"/>
      <c r="E353" s="218">
        <f t="shared" si="42"/>
        <v>6480</v>
      </c>
    </row>
    <row r="354" spans="1:5" x14ac:dyDescent="0.2">
      <c r="A354" s="212" t="s">
        <v>299</v>
      </c>
      <c r="B354" s="226">
        <f>B355</f>
        <v>11500</v>
      </c>
      <c r="C354" s="60">
        <f>C355</f>
        <v>0</v>
      </c>
      <c r="D354" s="372">
        <f>D355</f>
        <v>1500</v>
      </c>
      <c r="E354" s="226">
        <f t="shared" si="42"/>
        <v>13000</v>
      </c>
    </row>
    <row r="355" spans="1:5" ht="25.5" x14ac:dyDescent="0.2">
      <c r="A355" s="209" t="s">
        <v>301</v>
      </c>
      <c r="B355" s="218">
        <f>8000+3500</f>
        <v>11500</v>
      </c>
      <c r="C355" s="286"/>
      <c r="D355" s="375">
        <v>1500</v>
      </c>
      <c r="E355" s="218">
        <f t="shared" si="42"/>
        <v>13000</v>
      </c>
    </row>
    <row r="356" spans="1:5" x14ac:dyDescent="0.2">
      <c r="A356" s="210" t="s">
        <v>295</v>
      </c>
      <c r="B356" s="215">
        <f>B357+B358</f>
        <v>17282</v>
      </c>
      <c r="C356" s="60">
        <f>C357+C358</f>
        <v>0</v>
      </c>
      <c r="D356" s="372">
        <f>D357+D358</f>
        <v>500</v>
      </c>
      <c r="E356" s="215">
        <f t="shared" si="42"/>
        <v>17782</v>
      </c>
    </row>
    <row r="357" spans="1:5" x14ac:dyDescent="0.2">
      <c r="A357" s="208" t="s">
        <v>296</v>
      </c>
      <c r="B357" s="217">
        <v>8782</v>
      </c>
      <c r="C357" s="286"/>
      <c r="D357" s="375"/>
      <c r="E357" s="217">
        <f t="shared" si="42"/>
        <v>8782</v>
      </c>
    </row>
    <row r="358" spans="1:5" x14ac:dyDescent="0.2">
      <c r="A358" s="208" t="s">
        <v>297</v>
      </c>
      <c r="B358" s="217">
        <v>8500</v>
      </c>
      <c r="C358" s="286"/>
      <c r="D358" s="375">
        <v>500</v>
      </c>
      <c r="E358" s="217">
        <f t="shared" si="42"/>
        <v>9000</v>
      </c>
    </row>
    <row r="359" spans="1:5" x14ac:dyDescent="0.2">
      <c r="A359" s="209"/>
      <c r="B359" s="218"/>
      <c r="D359" s="375"/>
      <c r="E359" s="218">
        <f t="shared" si="42"/>
        <v>0</v>
      </c>
    </row>
    <row r="360" spans="1:5" x14ac:dyDescent="0.2">
      <c r="A360" s="210" t="s">
        <v>842</v>
      </c>
      <c r="B360" s="218"/>
      <c r="D360" s="11">
        <f>D361</f>
        <v>1960</v>
      </c>
      <c r="E360" s="218">
        <f t="shared" si="42"/>
        <v>1960</v>
      </c>
    </row>
    <row r="361" spans="1:5" x14ac:dyDescent="0.2">
      <c r="A361" s="210" t="s">
        <v>348</v>
      </c>
      <c r="B361" s="218"/>
      <c r="D361" s="11">
        <f>D362+D363</f>
        <v>1960</v>
      </c>
      <c r="E361" s="218">
        <f t="shared" si="42"/>
        <v>1960</v>
      </c>
    </row>
    <row r="362" spans="1:5" x14ac:dyDescent="0.2">
      <c r="A362" s="371" t="s">
        <v>349</v>
      </c>
      <c r="B362" s="218"/>
      <c r="D362" s="375">
        <v>1920</v>
      </c>
      <c r="E362" s="218">
        <f t="shared" si="42"/>
        <v>1920</v>
      </c>
    </row>
    <row r="363" spans="1:5" x14ac:dyDescent="0.2">
      <c r="A363" s="371" t="s">
        <v>746</v>
      </c>
      <c r="B363" s="218"/>
      <c r="D363" s="375">
        <v>40</v>
      </c>
      <c r="E363" s="218">
        <f t="shared" si="42"/>
        <v>40</v>
      </c>
    </row>
    <row r="364" spans="1:5" x14ac:dyDescent="0.2">
      <c r="A364" s="371"/>
      <c r="B364" s="218"/>
      <c r="D364" s="372"/>
      <c r="E364" s="218">
        <f t="shared" si="42"/>
        <v>0</v>
      </c>
    </row>
    <row r="365" spans="1:5" x14ac:dyDescent="0.2">
      <c r="A365" s="210" t="s">
        <v>357</v>
      </c>
      <c r="B365" s="215">
        <f>B366</f>
        <v>87990</v>
      </c>
      <c r="C365" s="223">
        <f>C366</f>
        <v>-12730</v>
      </c>
      <c r="D365" s="372">
        <f>D366</f>
        <v>12730</v>
      </c>
      <c r="E365" s="215">
        <f t="shared" si="42"/>
        <v>87990</v>
      </c>
    </row>
    <row r="366" spans="1:5" x14ac:dyDescent="0.2">
      <c r="A366" s="210" t="s">
        <v>348</v>
      </c>
      <c r="B366" s="215">
        <f>B367+B368+B369</f>
        <v>87990</v>
      </c>
      <c r="C366" s="223">
        <f>C367+C368+C369</f>
        <v>-12730</v>
      </c>
      <c r="D366" s="372">
        <f>D367+D368+D369</f>
        <v>12730</v>
      </c>
      <c r="E366" s="215">
        <f t="shared" si="42"/>
        <v>87990</v>
      </c>
    </row>
    <row r="367" spans="1:5" x14ac:dyDescent="0.2">
      <c r="A367" s="209" t="s">
        <v>304</v>
      </c>
      <c r="B367" s="218">
        <v>230</v>
      </c>
      <c r="C367" s="13"/>
      <c r="D367" s="375">
        <v>-150</v>
      </c>
      <c r="E367" s="218">
        <f t="shared" si="42"/>
        <v>80</v>
      </c>
    </row>
    <row r="368" spans="1:5" x14ac:dyDescent="0.2">
      <c r="A368" s="209" t="s">
        <v>349</v>
      </c>
      <c r="B368" s="218">
        <v>82350</v>
      </c>
      <c r="C368" s="13">
        <v>-14780</v>
      </c>
      <c r="D368" s="375">
        <v>12540</v>
      </c>
      <c r="E368" s="218">
        <f t="shared" si="42"/>
        <v>80110</v>
      </c>
    </row>
    <row r="369" spans="1:5" x14ac:dyDescent="0.2">
      <c r="A369" s="209" t="s">
        <v>358</v>
      </c>
      <c r="B369" s="218">
        <v>5410</v>
      </c>
      <c r="C369" s="13">
        <v>2050</v>
      </c>
      <c r="D369" s="375">
        <v>340</v>
      </c>
      <c r="E369" s="218">
        <f t="shared" si="42"/>
        <v>7800</v>
      </c>
    </row>
    <row r="370" spans="1:5" x14ac:dyDescent="0.2">
      <c r="A370" s="209"/>
      <c r="B370" s="218"/>
      <c r="D370" s="372"/>
      <c r="E370" s="218">
        <f t="shared" si="42"/>
        <v>0</v>
      </c>
    </row>
    <row r="371" spans="1:5" x14ac:dyDescent="0.2">
      <c r="A371" s="210" t="s">
        <v>359</v>
      </c>
      <c r="B371" s="215">
        <f>B372+B374</f>
        <v>212400</v>
      </c>
      <c r="C371" s="223">
        <f>C372+C374</f>
        <v>14515</v>
      </c>
      <c r="D371" s="372">
        <f>D372+D374</f>
        <v>2360</v>
      </c>
      <c r="E371" s="215">
        <f t="shared" si="42"/>
        <v>229275</v>
      </c>
    </row>
    <row r="372" spans="1:5" x14ac:dyDescent="0.2">
      <c r="A372" s="210" t="s">
        <v>360</v>
      </c>
      <c r="B372" s="215">
        <f>B373</f>
        <v>204500</v>
      </c>
      <c r="C372" s="223">
        <f>C373</f>
        <v>14000</v>
      </c>
      <c r="D372" s="372">
        <f>D373</f>
        <v>1230</v>
      </c>
      <c r="E372" s="215">
        <f t="shared" si="42"/>
        <v>219730</v>
      </c>
    </row>
    <row r="373" spans="1:5" x14ac:dyDescent="0.2">
      <c r="A373" s="209" t="s">
        <v>304</v>
      </c>
      <c r="B373" s="218">
        <v>204500</v>
      </c>
      <c r="C373" s="13">
        <v>14000</v>
      </c>
      <c r="D373" s="375">
        <v>1230</v>
      </c>
      <c r="E373" s="218">
        <f t="shared" si="42"/>
        <v>219730</v>
      </c>
    </row>
    <row r="374" spans="1:5" x14ac:dyDescent="0.2">
      <c r="A374" s="224" t="s">
        <v>295</v>
      </c>
      <c r="B374" s="225">
        <f>B375+B376</f>
        <v>7900</v>
      </c>
      <c r="C374" s="223">
        <f>C375+C376</f>
        <v>515</v>
      </c>
      <c r="D374" s="372">
        <f>D375+D376</f>
        <v>1130</v>
      </c>
      <c r="E374" s="225">
        <f t="shared" si="42"/>
        <v>9545</v>
      </c>
    </row>
    <row r="375" spans="1:5" x14ac:dyDescent="0.2">
      <c r="A375" s="209" t="s">
        <v>296</v>
      </c>
      <c r="B375" s="218">
        <v>339</v>
      </c>
      <c r="C375" s="13">
        <v>515</v>
      </c>
      <c r="D375" s="375"/>
      <c r="E375" s="218">
        <f t="shared" si="42"/>
        <v>854</v>
      </c>
    </row>
    <row r="376" spans="1:5" x14ac:dyDescent="0.2">
      <c r="A376" s="208" t="s">
        <v>297</v>
      </c>
      <c r="B376" s="217">
        <v>7561</v>
      </c>
      <c r="C376" s="286"/>
      <c r="D376" s="375">
        <v>1130</v>
      </c>
      <c r="E376" s="217">
        <f t="shared" si="42"/>
        <v>8691</v>
      </c>
    </row>
    <row r="377" spans="1:5" ht="24.75" customHeight="1" x14ac:dyDescent="0.2">
      <c r="A377" s="208"/>
      <c r="B377" s="217"/>
      <c r="D377" s="373"/>
      <c r="E377" s="217">
        <f t="shared" si="42"/>
        <v>0</v>
      </c>
    </row>
    <row r="378" spans="1:5" x14ac:dyDescent="0.2">
      <c r="A378" s="211" t="s">
        <v>361</v>
      </c>
      <c r="B378" s="213">
        <f>SUM(B379,B384,B387)</f>
        <v>2962530</v>
      </c>
      <c r="C378" s="213">
        <f>SUM(C379,C384,C387)</f>
        <v>17130</v>
      </c>
      <c r="D378" s="213">
        <f>SUM(D379,D384,D387)</f>
        <v>-27200</v>
      </c>
      <c r="E378" s="213">
        <f t="shared" si="42"/>
        <v>2952460</v>
      </c>
    </row>
    <row r="379" spans="1:5" x14ac:dyDescent="0.2">
      <c r="A379" s="210" t="s">
        <v>342</v>
      </c>
      <c r="B379" s="215">
        <f>B380+B381+B382+B383</f>
        <v>2929000</v>
      </c>
      <c r="C379" s="215"/>
      <c r="D379" s="215">
        <f>D380+D381+D382+D383</f>
        <v>-27500</v>
      </c>
      <c r="E379" s="215">
        <f t="shared" si="42"/>
        <v>2901500</v>
      </c>
    </row>
    <row r="380" spans="1:5" x14ac:dyDescent="0.2">
      <c r="A380" s="208" t="s">
        <v>343</v>
      </c>
      <c r="B380" s="217">
        <v>1165000</v>
      </c>
      <c r="C380" s="217"/>
      <c r="D380" s="375">
        <v>17000</v>
      </c>
      <c r="E380" s="217">
        <f t="shared" si="42"/>
        <v>1182000</v>
      </c>
    </row>
    <row r="381" spans="1:5" x14ac:dyDescent="0.2">
      <c r="A381" s="208" t="s">
        <v>297</v>
      </c>
      <c r="B381" s="217">
        <v>1600000</v>
      </c>
      <c r="C381" s="217"/>
      <c r="D381" s="217">
        <v>-100000</v>
      </c>
      <c r="E381" s="217">
        <f t="shared" si="42"/>
        <v>1500000</v>
      </c>
    </row>
    <row r="382" spans="1:5" x14ac:dyDescent="0.2">
      <c r="A382" s="208" t="s">
        <v>362</v>
      </c>
      <c r="B382" s="217">
        <v>140000</v>
      </c>
      <c r="C382" s="217"/>
      <c r="D382" s="375">
        <v>52700</v>
      </c>
      <c r="E382" s="217">
        <f t="shared" si="42"/>
        <v>192700</v>
      </c>
    </row>
    <row r="383" spans="1:5" x14ac:dyDescent="0.2">
      <c r="A383" s="208" t="s">
        <v>363</v>
      </c>
      <c r="B383" s="217">
        <v>24000</v>
      </c>
      <c r="C383" s="217"/>
      <c r="D383" s="375">
        <v>2800</v>
      </c>
      <c r="E383" s="217">
        <f t="shared" si="42"/>
        <v>26800</v>
      </c>
    </row>
    <row r="384" spans="1:5" x14ac:dyDescent="0.2">
      <c r="A384" s="210" t="s">
        <v>295</v>
      </c>
      <c r="B384" s="215">
        <f>B385</f>
        <v>31530</v>
      </c>
      <c r="C384" s="215">
        <f>C385+C386</f>
        <v>17130</v>
      </c>
      <c r="D384" s="372"/>
      <c r="E384" s="215">
        <f t="shared" si="42"/>
        <v>48660</v>
      </c>
    </row>
    <row r="385" spans="1:5" x14ac:dyDescent="0.2">
      <c r="A385" s="208" t="s">
        <v>296</v>
      </c>
      <c r="B385" s="217">
        <v>31530</v>
      </c>
      <c r="C385" s="217">
        <v>8580</v>
      </c>
      <c r="D385" s="372"/>
      <c r="E385" s="217">
        <f t="shared" ref="E385:E446" si="43">SUM(B385:D385)</f>
        <v>40110</v>
      </c>
    </row>
    <row r="386" spans="1:5" x14ac:dyDescent="0.2">
      <c r="A386" s="208" t="s">
        <v>297</v>
      </c>
      <c r="B386" s="217"/>
      <c r="C386" s="217">
        <v>8550</v>
      </c>
      <c r="D386" s="372"/>
      <c r="E386" s="217">
        <f t="shared" si="43"/>
        <v>8550</v>
      </c>
    </row>
    <row r="387" spans="1:5" x14ac:dyDescent="0.2">
      <c r="A387" s="227" t="s">
        <v>303</v>
      </c>
      <c r="B387" s="226">
        <f>B388</f>
        <v>2000</v>
      </c>
      <c r="C387" s="226"/>
      <c r="D387" s="372">
        <f>D388</f>
        <v>300</v>
      </c>
      <c r="E387" s="226">
        <f t="shared" si="43"/>
        <v>2300</v>
      </c>
    </row>
    <row r="388" spans="1:5" x14ac:dyDescent="0.2">
      <c r="A388" s="208" t="s">
        <v>304</v>
      </c>
      <c r="B388" s="217">
        <f>1100+900</f>
        <v>2000</v>
      </c>
      <c r="C388" s="217"/>
      <c r="D388" s="375">
        <v>300</v>
      </c>
      <c r="E388" s="217">
        <f t="shared" si="43"/>
        <v>2300</v>
      </c>
    </row>
    <row r="389" spans="1:5" x14ac:dyDescent="0.2">
      <c r="A389" s="208"/>
      <c r="B389" s="217"/>
      <c r="D389" s="373"/>
      <c r="E389" s="217">
        <f t="shared" si="43"/>
        <v>0</v>
      </c>
    </row>
    <row r="390" spans="1:5" x14ac:dyDescent="0.2">
      <c r="A390" s="211" t="s">
        <v>420</v>
      </c>
      <c r="B390" s="213">
        <f>B392+B398</f>
        <v>987183</v>
      </c>
      <c r="C390" s="18">
        <f>C392+C398</f>
        <v>22700</v>
      </c>
      <c r="D390" s="12">
        <f>D392+D398</f>
        <v>-201070</v>
      </c>
      <c r="E390" s="213">
        <f t="shared" si="43"/>
        <v>808813</v>
      </c>
    </row>
    <row r="391" spans="1:5" x14ac:dyDescent="0.2">
      <c r="A391" s="211"/>
      <c r="B391" s="213"/>
      <c r="C391" s="223"/>
      <c r="D391" s="372"/>
      <c r="E391" s="213">
        <f t="shared" si="43"/>
        <v>0</v>
      </c>
    </row>
    <row r="392" spans="1:5" x14ac:dyDescent="0.2">
      <c r="A392" s="210" t="s">
        <v>364</v>
      </c>
      <c r="B392" s="215">
        <f>B393</f>
        <v>599183</v>
      </c>
      <c r="C392" s="223">
        <f>C393</f>
        <v>0</v>
      </c>
      <c r="D392" s="372">
        <f>D393</f>
        <v>-101070</v>
      </c>
      <c r="E392" s="215">
        <f t="shared" si="43"/>
        <v>498113</v>
      </c>
    </row>
    <row r="393" spans="1:5" x14ac:dyDescent="0.2">
      <c r="A393" s="210" t="s">
        <v>299</v>
      </c>
      <c r="B393" s="215">
        <f>B394+B395+B396</f>
        <v>599183</v>
      </c>
      <c r="C393" s="223">
        <f>C394+C395+C396</f>
        <v>0</v>
      </c>
      <c r="D393" s="372">
        <f>D394+D395+D396</f>
        <v>-101070</v>
      </c>
      <c r="E393" s="215">
        <f t="shared" si="43"/>
        <v>498113</v>
      </c>
    </row>
    <row r="394" spans="1:5" x14ac:dyDescent="0.2">
      <c r="A394" s="208" t="s">
        <v>330</v>
      </c>
      <c r="B394" s="217">
        <v>401000</v>
      </c>
      <c r="C394" s="13"/>
      <c r="D394" s="375">
        <v>-104800</v>
      </c>
      <c r="E394" s="217">
        <f t="shared" si="43"/>
        <v>296200</v>
      </c>
    </row>
    <row r="395" spans="1:5" x14ac:dyDescent="0.2">
      <c r="A395" s="208" t="s">
        <v>304</v>
      </c>
      <c r="B395" s="217">
        <v>50100</v>
      </c>
      <c r="C395" s="13"/>
      <c r="D395" s="375">
        <v>3730</v>
      </c>
      <c r="E395" s="217">
        <f t="shared" si="43"/>
        <v>53830</v>
      </c>
    </row>
    <row r="396" spans="1:5" x14ac:dyDescent="0.2">
      <c r="A396" s="208" t="s">
        <v>7</v>
      </c>
      <c r="B396" s="217">
        <v>148083</v>
      </c>
      <c r="C396" s="13"/>
      <c r="D396" s="375"/>
      <c r="E396" s="217">
        <f t="shared" si="43"/>
        <v>148083</v>
      </c>
    </row>
    <row r="397" spans="1:5" x14ac:dyDescent="0.2">
      <c r="A397" s="208"/>
      <c r="B397" s="217"/>
      <c r="C397" s="223"/>
      <c r="D397" s="373"/>
      <c r="E397" s="217">
        <f t="shared" si="43"/>
        <v>0</v>
      </c>
    </row>
    <row r="398" spans="1:5" x14ac:dyDescent="0.2">
      <c r="A398" s="224" t="s">
        <v>366</v>
      </c>
      <c r="B398" s="225">
        <f>B399+B402+B404+B406</f>
        <v>388000</v>
      </c>
      <c r="C398" s="223">
        <f>C399+C402+C404+C406</f>
        <v>22700</v>
      </c>
      <c r="D398" s="373">
        <f>D399+D402+D404+D406</f>
        <v>-100000</v>
      </c>
      <c r="E398" s="225">
        <f t="shared" si="43"/>
        <v>310700</v>
      </c>
    </row>
    <row r="399" spans="1:5" x14ac:dyDescent="0.2">
      <c r="A399" s="210" t="s">
        <v>295</v>
      </c>
      <c r="B399" s="215">
        <f>B400+B401</f>
        <v>164000</v>
      </c>
      <c r="C399" s="223">
        <f>C400+C401</f>
        <v>8000</v>
      </c>
      <c r="D399" s="373">
        <f>D400+D401</f>
        <v>0</v>
      </c>
      <c r="E399" s="215">
        <f t="shared" si="43"/>
        <v>172000</v>
      </c>
    </row>
    <row r="400" spans="1:5" x14ac:dyDescent="0.2">
      <c r="A400" s="208" t="s">
        <v>296</v>
      </c>
      <c r="B400" s="217">
        <v>99000</v>
      </c>
      <c r="C400" s="13">
        <v>8000</v>
      </c>
      <c r="D400" s="374"/>
      <c r="E400" s="217">
        <f t="shared" si="43"/>
        <v>107000</v>
      </c>
    </row>
    <row r="401" spans="1:5" x14ac:dyDescent="0.2">
      <c r="A401" s="208" t="s">
        <v>297</v>
      </c>
      <c r="B401" s="217">
        <v>65000</v>
      </c>
      <c r="C401" s="13"/>
      <c r="D401" s="374"/>
      <c r="E401" s="217">
        <f t="shared" si="43"/>
        <v>65000</v>
      </c>
    </row>
    <row r="402" spans="1:5" x14ac:dyDescent="0.2">
      <c r="A402" s="224" t="s">
        <v>337</v>
      </c>
      <c r="B402" s="225">
        <f>B403</f>
        <v>383000</v>
      </c>
      <c r="C402" s="223">
        <f>C403</f>
        <v>14700</v>
      </c>
      <c r="D402" s="373">
        <f>D403</f>
        <v>0</v>
      </c>
      <c r="E402" s="225">
        <f t="shared" si="43"/>
        <v>397700</v>
      </c>
    </row>
    <row r="403" spans="1:5" x14ac:dyDescent="0.2">
      <c r="A403" s="209" t="s">
        <v>367</v>
      </c>
      <c r="B403" s="218">
        <v>383000</v>
      </c>
      <c r="C403" s="13">
        <v>14700</v>
      </c>
      <c r="D403" s="374"/>
      <c r="E403" s="218">
        <f t="shared" si="43"/>
        <v>397700</v>
      </c>
    </row>
    <row r="404" spans="1:5" x14ac:dyDescent="0.2">
      <c r="A404" s="212" t="s">
        <v>299</v>
      </c>
      <c r="B404" s="226">
        <f>B405</f>
        <v>11000</v>
      </c>
      <c r="C404" s="223">
        <f>C405</f>
        <v>0</v>
      </c>
      <c r="D404" s="373">
        <f>D405</f>
        <v>0</v>
      </c>
      <c r="E404" s="226">
        <f t="shared" si="43"/>
        <v>11000</v>
      </c>
    </row>
    <row r="405" spans="1:5" x14ac:dyDescent="0.2">
      <c r="A405" s="209" t="s">
        <v>43</v>
      </c>
      <c r="B405" s="218">
        <v>11000</v>
      </c>
      <c r="C405" s="13"/>
      <c r="D405" s="374"/>
      <c r="E405" s="218">
        <f t="shared" si="43"/>
        <v>11000</v>
      </c>
    </row>
    <row r="406" spans="1:5" x14ac:dyDescent="0.2">
      <c r="A406" s="212" t="s">
        <v>622</v>
      </c>
      <c r="B406" s="290">
        <f>B407</f>
        <v>-170000</v>
      </c>
      <c r="C406" s="223">
        <f>C407</f>
        <v>0</v>
      </c>
      <c r="D406" s="372">
        <f>D407</f>
        <v>-100000</v>
      </c>
      <c r="E406" s="290">
        <f t="shared" si="43"/>
        <v>-270000</v>
      </c>
    </row>
    <row r="407" spans="1:5" ht="25.5" x14ac:dyDescent="0.2">
      <c r="A407" s="209" t="s">
        <v>582</v>
      </c>
      <c r="B407" s="218">
        <v>-170000</v>
      </c>
      <c r="C407" s="13"/>
      <c r="D407" s="375">
        <v>-100000</v>
      </c>
      <c r="E407" s="218">
        <f t="shared" si="43"/>
        <v>-270000</v>
      </c>
    </row>
    <row r="408" spans="1:5" x14ac:dyDescent="0.2">
      <c r="A408" s="208"/>
      <c r="B408" s="217"/>
      <c r="C408" s="223"/>
      <c r="D408" s="373"/>
      <c r="E408" s="217">
        <f t="shared" si="43"/>
        <v>0</v>
      </c>
    </row>
    <row r="409" spans="1:5" x14ac:dyDescent="0.2">
      <c r="A409" s="211" t="s">
        <v>368</v>
      </c>
      <c r="B409" s="213">
        <f>SUM(B410,B414,B416)</f>
        <v>1278670</v>
      </c>
      <c r="D409" s="213">
        <f>SUM(D410,D414,D416)</f>
        <v>-13400</v>
      </c>
      <c r="E409" s="213">
        <f t="shared" si="43"/>
        <v>1265270</v>
      </c>
    </row>
    <row r="410" spans="1:5" x14ac:dyDescent="0.2">
      <c r="A410" s="210" t="s">
        <v>369</v>
      </c>
      <c r="B410" s="215">
        <f>SUM(B411:B413)</f>
        <v>1219270</v>
      </c>
      <c r="D410" s="215">
        <f>SUM(D411:D413)</f>
        <v>-6400</v>
      </c>
      <c r="E410" s="215">
        <f t="shared" si="43"/>
        <v>1212870</v>
      </c>
    </row>
    <row r="411" spans="1:5" x14ac:dyDescent="0.2">
      <c r="A411" s="209" t="s">
        <v>583</v>
      </c>
      <c r="B411" s="218">
        <v>1180000</v>
      </c>
      <c r="D411" s="373"/>
      <c r="E411" s="218">
        <f t="shared" si="43"/>
        <v>1180000</v>
      </c>
    </row>
    <row r="412" spans="1:5" ht="25.5" x14ac:dyDescent="0.2">
      <c r="A412" s="209" t="s">
        <v>370</v>
      </c>
      <c r="B412" s="218">
        <v>24270</v>
      </c>
      <c r="D412" s="217">
        <v>-4000</v>
      </c>
      <c r="E412" s="218">
        <f t="shared" si="43"/>
        <v>20270</v>
      </c>
    </row>
    <row r="413" spans="1:5" x14ac:dyDescent="0.2">
      <c r="A413" s="209" t="s">
        <v>371</v>
      </c>
      <c r="B413" s="218">
        <v>15000</v>
      </c>
      <c r="D413" s="373">
        <v>-2400</v>
      </c>
      <c r="E413" s="218">
        <f t="shared" si="43"/>
        <v>12600</v>
      </c>
    </row>
    <row r="414" spans="1:5" x14ac:dyDescent="0.2">
      <c r="A414" s="210" t="s">
        <v>295</v>
      </c>
      <c r="B414" s="215">
        <f>SUM(B415:B415)</f>
        <v>43800</v>
      </c>
      <c r="D414" s="373"/>
      <c r="E414" s="215">
        <f t="shared" si="43"/>
        <v>43800</v>
      </c>
    </row>
    <row r="415" spans="1:5" x14ac:dyDescent="0.2">
      <c r="A415" s="208" t="s">
        <v>312</v>
      </c>
      <c r="B415" s="217">
        <v>43800</v>
      </c>
      <c r="D415" s="373"/>
      <c r="E415" s="217">
        <f t="shared" si="43"/>
        <v>43800</v>
      </c>
    </row>
    <row r="416" spans="1:5" x14ac:dyDescent="0.2">
      <c r="A416" s="212" t="s">
        <v>299</v>
      </c>
      <c r="B416" s="226">
        <f>SUM(B417)</f>
        <v>15600</v>
      </c>
      <c r="D416" s="373">
        <f>D417</f>
        <v>-7000</v>
      </c>
      <c r="E416" s="226">
        <f t="shared" si="43"/>
        <v>8600</v>
      </c>
    </row>
    <row r="417" spans="1:5" ht="25.5" x14ac:dyDescent="0.2">
      <c r="A417" s="209" t="s">
        <v>301</v>
      </c>
      <c r="B417" s="218">
        <v>15600</v>
      </c>
      <c r="D417" s="373">
        <v>-7000</v>
      </c>
      <c r="E417" s="218">
        <f t="shared" si="43"/>
        <v>8600</v>
      </c>
    </row>
    <row r="418" spans="1:5" x14ac:dyDescent="0.2">
      <c r="A418" s="210"/>
      <c r="B418" s="215"/>
      <c r="D418" s="373"/>
      <c r="E418" s="215">
        <f t="shared" si="43"/>
        <v>0</v>
      </c>
    </row>
    <row r="419" spans="1:5" x14ac:dyDescent="0.2">
      <c r="A419" s="211" t="s">
        <v>372</v>
      </c>
      <c r="B419" s="213">
        <f>SUM(B421,B433)</f>
        <v>753684</v>
      </c>
      <c r="D419" s="373"/>
      <c r="E419" s="213">
        <f t="shared" si="43"/>
        <v>753684</v>
      </c>
    </row>
    <row r="420" spans="1:5" x14ac:dyDescent="0.2">
      <c r="A420" s="210"/>
      <c r="B420" s="215"/>
      <c r="D420" s="373"/>
      <c r="E420" s="215">
        <f t="shared" si="43"/>
        <v>0</v>
      </c>
    </row>
    <row r="421" spans="1:5" x14ac:dyDescent="0.2">
      <c r="A421" s="210" t="s">
        <v>373</v>
      </c>
      <c r="B421" s="215">
        <f>SUM(B422,B424,B428,B430)</f>
        <v>599012</v>
      </c>
      <c r="D421" s="373"/>
      <c r="E421" s="215">
        <f t="shared" si="43"/>
        <v>599012</v>
      </c>
    </row>
    <row r="422" spans="1:5" x14ac:dyDescent="0.2">
      <c r="A422" s="210" t="s">
        <v>337</v>
      </c>
      <c r="B422" s="215">
        <f>B423</f>
        <v>180000</v>
      </c>
      <c r="D422" s="373"/>
      <c r="E422" s="215">
        <f t="shared" si="43"/>
        <v>180000</v>
      </c>
    </row>
    <row r="423" spans="1:5" x14ac:dyDescent="0.2">
      <c r="A423" s="208" t="s">
        <v>374</v>
      </c>
      <c r="B423" s="217">
        <v>180000</v>
      </c>
      <c r="D423" s="373"/>
      <c r="E423" s="217">
        <f t="shared" si="43"/>
        <v>180000</v>
      </c>
    </row>
    <row r="424" spans="1:5" x14ac:dyDescent="0.2">
      <c r="A424" s="210" t="s">
        <v>295</v>
      </c>
      <c r="B424" s="215">
        <f>B425+B426+B427</f>
        <v>231612</v>
      </c>
      <c r="D424" s="373"/>
      <c r="E424" s="215">
        <f t="shared" si="43"/>
        <v>231612</v>
      </c>
    </row>
    <row r="425" spans="1:5" x14ac:dyDescent="0.2">
      <c r="A425" s="208" t="s">
        <v>296</v>
      </c>
      <c r="B425" s="217">
        <v>229534</v>
      </c>
      <c r="D425" s="373"/>
      <c r="E425" s="217">
        <f t="shared" si="43"/>
        <v>229534</v>
      </c>
    </row>
    <row r="426" spans="1:5" x14ac:dyDescent="0.2">
      <c r="A426" s="208" t="s">
        <v>297</v>
      </c>
      <c r="B426" s="217">
        <v>640</v>
      </c>
      <c r="D426" s="373"/>
      <c r="E426" s="217">
        <f t="shared" si="43"/>
        <v>640</v>
      </c>
    </row>
    <row r="427" spans="1:5" x14ac:dyDescent="0.2">
      <c r="A427" s="208" t="s">
        <v>312</v>
      </c>
      <c r="B427" s="217">
        <v>1438</v>
      </c>
      <c r="D427" s="373"/>
      <c r="E427" s="217">
        <f t="shared" si="43"/>
        <v>1438</v>
      </c>
    </row>
    <row r="428" spans="1:5" x14ac:dyDescent="0.2">
      <c r="A428" s="210" t="s">
        <v>333</v>
      </c>
      <c r="B428" s="215">
        <f>B429</f>
        <v>185000</v>
      </c>
      <c r="D428" s="373"/>
      <c r="E428" s="215">
        <f t="shared" si="43"/>
        <v>185000</v>
      </c>
    </row>
    <row r="429" spans="1:5" x14ac:dyDescent="0.2">
      <c r="A429" s="208" t="s">
        <v>375</v>
      </c>
      <c r="B429" s="217">
        <v>185000</v>
      </c>
      <c r="D429" s="373"/>
      <c r="E429" s="217">
        <f t="shared" si="43"/>
        <v>185000</v>
      </c>
    </row>
    <row r="430" spans="1:5" x14ac:dyDescent="0.2">
      <c r="A430" s="60" t="s">
        <v>299</v>
      </c>
      <c r="B430" s="226">
        <f>B431</f>
        <v>2400</v>
      </c>
      <c r="D430" s="373"/>
      <c r="E430" s="226">
        <f t="shared" si="43"/>
        <v>2400</v>
      </c>
    </row>
    <row r="431" spans="1:5" ht="25.5" x14ac:dyDescent="0.2">
      <c r="A431" s="209" t="s">
        <v>301</v>
      </c>
      <c r="B431" s="218">
        <v>2400</v>
      </c>
      <c r="D431" s="373"/>
      <c r="E431" s="218">
        <f t="shared" si="43"/>
        <v>2400</v>
      </c>
    </row>
    <row r="432" spans="1:5" x14ac:dyDescent="0.2">
      <c r="A432" s="208"/>
      <c r="B432" s="217"/>
      <c r="D432" s="373"/>
      <c r="E432" s="217">
        <f t="shared" si="43"/>
        <v>0</v>
      </c>
    </row>
    <row r="433" spans="1:5" x14ac:dyDescent="0.2">
      <c r="A433" s="210" t="s">
        <v>376</v>
      </c>
      <c r="B433" s="215">
        <f>SUM(B434,B436)</f>
        <v>154672</v>
      </c>
      <c r="D433" s="373"/>
      <c r="E433" s="215">
        <f t="shared" si="43"/>
        <v>154672</v>
      </c>
    </row>
    <row r="434" spans="1:5" x14ac:dyDescent="0.2">
      <c r="A434" s="212" t="s">
        <v>299</v>
      </c>
      <c r="B434" s="226">
        <f>SUM(B435)</f>
        <v>133500</v>
      </c>
      <c r="D434" s="373"/>
      <c r="E434" s="226">
        <f t="shared" si="43"/>
        <v>133500</v>
      </c>
    </row>
    <row r="435" spans="1:5" x14ac:dyDescent="0.2">
      <c r="A435" s="208" t="s">
        <v>377</v>
      </c>
      <c r="B435" s="217">
        <v>133500</v>
      </c>
      <c r="D435" s="373"/>
      <c r="E435" s="217">
        <f t="shared" si="43"/>
        <v>133500</v>
      </c>
    </row>
    <row r="436" spans="1:5" x14ac:dyDescent="0.2">
      <c r="A436" s="210" t="s">
        <v>295</v>
      </c>
      <c r="B436" s="215">
        <f>B437</f>
        <v>21172</v>
      </c>
      <c r="D436" s="373"/>
      <c r="E436" s="215">
        <f t="shared" si="43"/>
        <v>21172</v>
      </c>
    </row>
    <row r="437" spans="1:5" x14ac:dyDescent="0.2">
      <c r="A437" s="208" t="s">
        <v>296</v>
      </c>
      <c r="B437" s="217">
        <v>21172</v>
      </c>
      <c r="D437" s="373"/>
      <c r="E437" s="217">
        <f t="shared" si="43"/>
        <v>21172</v>
      </c>
    </row>
    <row r="438" spans="1:5" x14ac:dyDescent="0.2">
      <c r="A438" s="210"/>
      <c r="B438" s="215"/>
      <c r="D438" s="373"/>
      <c r="E438" s="215">
        <f t="shared" si="43"/>
        <v>0</v>
      </c>
    </row>
    <row r="439" spans="1:5" x14ac:dyDescent="0.2">
      <c r="A439" s="211" t="s">
        <v>378</v>
      </c>
      <c r="B439" s="213">
        <f>SUM(B441,B448,B456,B464)</f>
        <v>2083238</v>
      </c>
      <c r="C439" s="213">
        <f>SUM(C441,C448,C456,C464)</f>
        <v>4000</v>
      </c>
      <c r="D439" s="213">
        <f t="shared" ref="D439" si="44">SUM(D441,D448,D456,D464)</f>
        <v>470700</v>
      </c>
      <c r="E439" s="213">
        <f t="shared" si="43"/>
        <v>2557938</v>
      </c>
    </row>
    <row r="440" spans="1:5" x14ac:dyDescent="0.2">
      <c r="A440" s="232"/>
      <c r="B440" s="233"/>
      <c r="D440" s="220"/>
      <c r="E440" s="233">
        <f t="shared" si="43"/>
        <v>0</v>
      </c>
    </row>
    <row r="441" spans="1:5" x14ac:dyDescent="0.2">
      <c r="A441" s="224" t="s">
        <v>379</v>
      </c>
      <c r="B441" s="225">
        <f>SUM(B442,B445)</f>
        <v>53008</v>
      </c>
      <c r="D441" s="215">
        <f t="shared" ref="D441" si="45">SUM(D442,D445)</f>
        <v>800</v>
      </c>
      <c r="E441" s="225">
        <f t="shared" si="43"/>
        <v>53808</v>
      </c>
    </row>
    <row r="442" spans="1:5" x14ac:dyDescent="0.2">
      <c r="A442" s="210" t="s">
        <v>295</v>
      </c>
      <c r="B442" s="215">
        <f>SUM(B443:B444)</f>
        <v>51408</v>
      </c>
      <c r="D442" s="215">
        <f t="shared" ref="D442" si="46">SUM(D443:D444)</f>
        <v>0</v>
      </c>
      <c r="E442" s="215">
        <f t="shared" si="43"/>
        <v>51408</v>
      </c>
    </row>
    <row r="443" spans="1:5" x14ac:dyDescent="0.2">
      <c r="A443" s="208" t="s">
        <v>296</v>
      </c>
      <c r="B443" s="217">
        <f>15408+15000</f>
        <v>30408</v>
      </c>
      <c r="D443" s="217"/>
      <c r="E443" s="217">
        <f t="shared" si="43"/>
        <v>30408</v>
      </c>
    </row>
    <row r="444" spans="1:5" x14ac:dyDescent="0.2">
      <c r="A444" s="208" t="s">
        <v>297</v>
      </c>
      <c r="B444" s="217">
        <v>21000</v>
      </c>
      <c r="D444" s="217"/>
      <c r="E444" s="217">
        <f t="shared" si="43"/>
        <v>21000</v>
      </c>
    </row>
    <row r="445" spans="1:5" x14ac:dyDescent="0.2">
      <c r="A445" s="210" t="s">
        <v>380</v>
      </c>
      <c r="B445" s="215">
        <f>SUM(B446:B446)</f>
        <v>1600</v>
      </c>
      <c r="D445" s="215">
        <f t="shared" ref="D445" si="47">SUM(D446:D446)</f>
        <v>800</v>
      </c>
      <c r="E445" s="215">
        <f t="shared" si="43"/>
        <v>2400</v>
      </c>
    </row>
    <row r="446" spans="1:5" x14ac:dyDescent="0.2">
      <c r="A446" s="208" t="s">
        <v>381</v>
      </c>
      <c r="B446" s="217">
        <f>790+810</f>
        <v>1600</v>
      </c>
      <c r="D446" s="217">
        <v>800</v>
      </c>
      <c r="E446" s="217">
        <f t="shared" si="43"/>
        <v>2400</v>
      </c>
    </row>
    <row r="447" spans="1:5" x14ac:dyDescent="0.2">
      <c r="A447" s="224"/>
      <c r="B447" s="225"/>
      <c r="D447" s="215"/>
      <c r="E447" s="225">
        <f t="shared" ref="E447:E510" si="48">SUM(B447:D447)</f>
        <v>0</v>
      </c>
    </row>
    <row r="448" spans="1:5" x14ac:dyDescent="0.2">
      <c r="A448" s="210" t="s">
        <v>382</v>
      </c>
      <c r="B448" s="215">
        <f>SUM(B449,B451)</f>
        <v>705300</v>
      </c>
      <c r="C448" s="215">
        <f>SUM(C449,C451)</f>
        <v>4000</v>
      </c>
      <c r="D448" s="215">
        <f>SUM(D449,D451)</f>
        <v>6700</v>
      </c>
      <c r="E448" s="215">
        <f t="shared" si="48"/>
        <v>716000</v>
      </c>
    </row>
    <row r="449" spans="1:5" x14ac:dyDescent="0.2">
      <c r="A449" s="210" t="s">
        <v>295</v>
      </c>
      <c r="B449" s="215">
        <f>SUM(B450:B450)</f>
        <v>800</v>
      </c>
      <c r="D449" s="215">
        <f t="shared" ref="D449" si="49">SUM(D450:D450)</f>
        <v>-300</v>
      </c>
      <c r="E449" s="215">
        <f t="shared" si="48"/>
        <v>500</v>
      </c>
    </row>
    <row r="450" spans="1:5" x14ac:dyDescent="0.2">
      <c r="A450" s="208" t="s">
        <v>297</v>
      </c>
      <c r="B450" s="217">
        <v>800</v>
      </c>
      <c r="D450" s="217">
        <v>-300</v>
      </c>
      <c r="E450" s="217">
        <f t="shared" si="48"/>
        <v>500</v>
      </c>
    </row>
    <row r="451" spans="1:5" x14ac:dyDescent="0.2">
      <c r="A451" s="212" t="s">
        <v>299</v>
      </c>
      <c r="B451" s="226">
        <f>SUM(B452:B454)</f>
        <v>704500</v>
      </c>
      <c r="C451" s="226">
        <f>SUM(C452:C454)</f>
        <v>4000</v>
      </c>
      <c r="D451" s="226">
        <f>SUM(D452:D454)</f>
        <v>7000</v>
      </c>
      <c r="E451" s="226">
        <f t="shared" si="48"/>
        <v>715500</v>
      </c>
    </row>
    <row r="452" spans="1:5" x14ac:dyDescent="0.2">
      <c r="A452" s="208" t="s">
        <v>383</v>
      </c>
      <c r="B452" s="217">
        <v>694000</v>
      </c>
      <c r="D452" s="217">
        <v>9000</v>
      </c>
      <c r="E452" s="217">
        <f t="shared" si="48"/>
        <v>703000</v>
      </c>
    </row>
    <row r="453" spans="1:5" x14ac:dyDescent="0.2">
      <c r="A453" s="208" t="s">
        <v>429</v>
      </c>
      <c r="B453" s="217">
        <f>9000+1000</f>
        <v>10000</v>
      </c>
      <c r="C453" s="217">
        <v>4000</v>
      </c>
      <c r="D453" s="217">
        <v>-2000</v>
      </c>
      <c r="E453" s="217">
        <f t="shared" si="48"/>
        <v>12000</v>
      </c>
    </row>
    <row r="454" spans="1:5" x14ac:dyDescent="0.2">
      <c r="A454" s="208" t="s">
        <v>430</v>
      </c>
      <c r="B454" s="217">
        <v>500</v>
      </c>
      <c r="D454" s="217"/>
      <c r="E454" s="217">
        <f t="shared" si="48"/>
        <v>500</v>
      </c>
    </row>
    <row r="455" spans="1:5" x14ac:dyDescent="0.2">
      <c r="A455" s="210"/>
      <c r="B455" s="215"/>
      <c r="D455" s="215"/>
      <c r="E455" s="215">
        <f t="shared" si="48"/>
        <v>0</v>
      </c>
    </row>
    <row r="456" spans="1:5" x14ac:dyDescent="0.2">
      <c r="A456" s="210" t="s">
        <v>384</v>
      </c>
      <c r="B456" s="215">
        <f>B457+B460</f>
        <v>224930</v>
      </c>
      <c r="D456" s="215">
        <f t="shared" ref="D456" si="50">D457+D460</f>
        <v>13200</v>
      </c>
      <c r="E456" s="215">
        <f t="shared" si="48"/>
        <v>238130</v>
      </c>
    </row>
    <row r="457" spans="1:5" x14ac:dyDescent="0.2">
      <c r="A457" s="212" t="s">
        <v>310</v>
      </c>
      <c r="B457" s="226">
        <f>B458+B459</f>
        <v>222000</v>
      </c>
      <c r="D457" s="226">
        <f t="shared" ref="D457" si="51">D458+D459</f>
        <v>14200</v>
      </c>
      <c r="E457" s="226">
        <f t="shared" si="48"/>
        <v>236200</v>
      </c>
    </row>
    <row r="458" spans="1:5" x14ac:dyDescent="0.2">
      <c r="A458" s="208" t="s">
        <v>0</v>
      </c>
      <c r="B458" s="217">
        <f>122000+20000</f>
        <v>142000</v>
      </c>
      <c r="D458" s="217"/>
      <c r="E458" s="217">
        <f t="shared" si="48"/>
        <v>142000</v>
      </c>
    </row>
    <row r="459" spans="1:5" x14ac:dyDescent="0.2">
      <c r="A459" s="208" t="s">
        <v>1</v>
      </c>
      <c r="B459" s="217">
        <f>90000-10000</f>
        <v>80000</v>
      </c>
      <c r="D459" s="217">
        <f>1000+3600+9600</f>
        <v>14200</v>
      </c>
      <c r="E459" s="217">
        <f t="shared" si="48"/>
        <v>94200</v>
      </c>
    </row>
    <row r="460" spans="1:5" x14ac:dyDescent="0.2">
      <c r="A460" s="210" t="s">
        <v>295</v>
      </c>
      <c r="B460" s="215">
        <f>B461+B462</f>
        <v>2930</v>
      </c>
      <c r="D460" s="215">
        <f t="shared" ref="D460" si="52">D461+D462</f>
        <v>-1000</v>
      </c>
      <c r="E460" s="215">
        <f t="shared" si="48"/>
        <v>1930</v>
      </c>
    </row>
    <row r="461" spans="1:5" x14ac:dyDescent="0.2">
      <c r="A461" s="208" t="s">
        <v>296</v>
      </c>
      <c r="B461" s="217">
        <v>2030</v>
      </c>
      <c r="D461" s="217">
        <v>-2030</v>
      </c>
      <c r="E461" s="217">
        <f t="shared" si="48"/>
        <v>0</v>
      </c>
    </row>
    <row r="462" spans="1:5" x14ac:dyDescent="0.2">
      <c r="A462" s="208" t="s">
        <v>297</v>
      </c>
      <c r="B462" s="217">
        <v>900</v>
      </c>
      <c r="D462" s="217">
        <v>1030</v>
      </c>
      <c r="E462" s="217">
        <f t="shared" si="48"/>
        <v>1930</v>
      </c>
    </row>
    <row r="463" spans="1:5" x14ac:dyDescent="0.2">
      <c r="A463" s="208"/>
      <c r="B463" s="217"/>
      <c r="D463" s="217"/>
      <c r="E463" s="217">
        <f t="shared" si="48"/>
        <v>0</v>
      </c>
    </row>
    <row r="464" spans="1:5" x14ac:dyDescent="0.2">
      <c r="A464" s="210" t="s">
        <v>747</v>
      </c>
      <c r="B464" s="215">
        <f>SUM(B465,B467)</f>
        <v>1100000</v>
      </c>
      <c r="D464" s="215">
        <f>SUM(D465,D467)</f>
        <v>450000</v>
      </c>
      <c r="E464" s="215">
        <f t="shared" si="48"/>
        <v>1550000</v>
      </c>
    </row>
    <row r="465" spans="1:5" x14ac:dyDescent="0.2">
      <c r="A465" s="212" t="s">
        <v>380</v>
      </c>
      <c r="B465" s="226">
        <f>SUM(B466:B466)</f>
        <v>1100000</v>
      </c>
      <c r="D465" s="226">
        <f t="shared" ref="D465" si="53">SUM(D466:D466)</f>
        <v>450000</v>
      </c>
      <c r="E465" s="226">
        <f t="shared" si="48"/>
        <v>1550000</v>
      </c>
    </row>
    <row r="466" spans="1:5" x14ac:dyDescent="0.2">
      <c r="A466" s="208" t="s">
        <v>40</v>
      </c>
      <c r="B466" s="217">
        <v>1100000</v>
      </c>
      <c r="D466" s="217">
        <v>450000</v>
      </c>
      <c r="E466" s="217">
        <f t="shared" si="48"/>
        <v>1550000</v>
      </c>
    </row>
    <row r="467" spans="1:5" x14ac:dyDescent="0.2">
      <c r="A467" s="210"/>
      <c r="B467" s="215"/>
      <c r="D467" s="377"/>
      <c r="E467" s="215">
        <f t="shared" si="48"/>
        <v>0</v>
      </c>
    </row>
    <row r="468" spans="1:5" x14ac:dyDescent="0.2">
      <c r="A468" s="211" t="s">
        <v>2</v>
      </c>
      <c r="B468" s="213">
        <f>SUM(B469)</f>
        <v>8000</v>
      </c>
      <c r="D468" s="213">
        <f>SUM(D471)</f>
        <v>6000</v>
      </c>
      <c r="E468" s="213">
        <f t="shared" si="48"/>
        <v>14000</v>
      </c>
    </row>
    <row r="469" spans="1:5" x14ac:dyDescent="0.2">
      <c r="A469" s="210" t="s">
        <v>303</v>
      </c>
      <c r="B469" s="215">
        <f>SUM(B470)</f>
        <v>8000</v>
      </c>
      <c r="D469" s="215"/>
      <c r="E469" s="215">
        <f t="shared" si="48"/>
        <v>8000</v>
      </c>
    </row>
    <row r="470" spans="1:5" x14ac:dyDescent="0.2">
      <c r="A470" s="208" t="s">
        <v>304</v>
      </c>
      <c r="B470" s="217">
        <v>8000</v>
      </c>
      <c r="D470" s="217"/>
      <c r="E470" s="217">
        <f t="shared" si="48"/>
        <v>8000</v>
      </c>
    </row>
    <row r="471" spans="1:5" x14ac:dyDescent="0.2">
      <c r="A471" s="210" t="s">
        <v>299</v>
      </c>
      <c r="B471" s="217"/>
      <c r="D471" s="215">
        <f>SUM(D472)</f>
        <v>6000</v>
      </c>
      <c r="E471" s="217">
        <f t="shared" si="48"/>
        <v>6000</v>
      </c>
    </row>
    <row r="472" spans="1:5" x14ac:dyDescent="0.2">
      <c r="A472" s="208" t="s">
        <v>330</v>
      </c>
      <c r="B472" s="217"/>
      <c r="D472" s="217">
        <v>6000</v>
      </c>
      <c r="E472" s="217">
        <f t="shared" si="48"/>
        <v>6000</v>
      </c>
    </row>
    <row r="473" spans="1:5" x14ac:dyDescent="0.2">
      <c r="A473" s="210"/>
      <c r="B473" s="215"/>
      <c r="D473" s="373"/>
      <c r="E473" s="215">
        <f t="shared" si="48"/>
        <v>0</v>
      </c>
    </row>
    <row r="474" spans="1:5" x14ac:dyDescent="0.2">
      <c r="A474" s="211" t="s">
        <v>3</v>
      </c>
      <c r="B474" s="213">
        <f>B476+B491+B498</f>
        <v>329407</v>
      </c>
      <c r="C474" s="213">
        <f>C476+C491+C498</f>
        <v>2950</v>
      </c>
      <c r="D474" s="213">
        <f>D476+D491+D498</f>
        <v>12220</v>
      </c>
      <c r="E474" s="213">
        <f t="shared" si="48"/>
        <v>344577</v>
      </c>
    </row>
    <row r="475" spans="1:5" x14ac:dyDescent="0.2">
      <c r="A475" s="219"/>
      <c r="B475" s="220"/>
      <c r="C475" s="220"/>
      <c r="D475" s="220"/>
      <c r="E475" s="220">
        <f t="shared" si="48"/>
        <v>0</v>
      </c>
    </row>
    <row r="476" spans="1:5" x14ac:dyDescent="0.2">
      <c r="A476" s="210" t="s">
        <v>4</v>
      </c>
      <c r="B476" s="215">
        <f>B477+B481+B484+B487</f>
        <v>272977</v>
      </c>
      <c r="C476" s="215">
        <f>C477+C481+C484+C487</f>
        <v>2950</v>
      </c>
      <c r="D476" s="215">
        <f>D477+D481+D484+D487</f>
        <v>6650</v>
      </c>
      <c r="E476" s="215">
        <f t="shared" si="48"/>
        <v>282577</v>
      </c>
    </row>
    <row r="477" spans="1:5" x14ac:dyDescent="0.2">
      <c r="A477" s="210" t="s">
        <v>342</v>
      </c>
      <c r="B477" s="215">
        <f>SUM(B478:B480)</f>
        <v>54300</v>
      </c>
      <c r="C477" s="215">
        <f>SUM(C478:C480)</f>
        <v>-2050</v>
      </c>
      <c r="D477" s="215">
        <f>SUM(D478:D480)</f>
        <v>-5110</v>
      </c>
      <c r="E477" s="215">
        <f t="shared" si="48"/>
        <v>47140</v>
      </c>
    </row>
    <row r="478" spans="1:5" x14ac:dyDescent="0.2">
      <c r="A478" s="208" t="s">
        <v>343</v>
      </c>
      <c r="B478" s="217">
        <v>13000</v>
      </c>
      <c r="C478" s="217">
        <v>-490</v>
      </c>
      <c r="D478" s="217"/>
      <c r="E478" s="217">
        <f t="shared" si="48"/>
        <v>12510</v>
      </c>
    </row>
    <row r="479" spans="1:5" x14ac:dyDescent="0.2">
      <c r="A479" s="209" t="s">
        <v>5</v>
      </c>
      <c r="B479" s="218">
        <v>4300</v>
      </c>
      <c r="C479" s="218">
        <v>-300</v>
      </c>
      <c r="D479" s="217">
        <v>-1110</v>
      </c>
      <c r="E479" s="218">
        <f t="shared" si="48"/>
        <v>2890</v>
      </c>
    </row>
    <row r="480" spans="1:5" x14ac:dyDescent="0.2">
      <c r="A480" s="208" t="s">
        <v>297</v>
      </c>
      <c r="B480" s="217">
        <v>37000</v>
      </c>
      <c r="C480" s="217">
        <v>-1260</v>
      </c>
      <c r="D480" s="217">
        <v>-4000</v>
      </c>
      <c r="E480" s="217">
        <f t="shared" si="48"/>
        <v>31740</v>
      </c>
    </row>
    <row r="481" spans="1:5" x14ac:dyDescent="0.2">
      <c r="A481" s="210" t="s">
        <v>295</v>
      </c>
      <c r="B481" s="215">
        <f>SUM(B482:B483)</f>
        <v>123843</v>
      </c>
      <c r="C481" s="215">
        <f>SUM(C482:C483)</f>
        <v>0</v>
      </c>
      <c r="D481" s="215">
        <f>SUM(D482:D483)</f>
        <v>6300</v>
      </c>
      <c r="E481" s="215">
        <f t="shared" si="48"/>
        <v>130143</v>
      </c>
    </row>
    <row r="482" spans="1:5" x14ac:dyDescent="0.2">
      <c r="A482" s="208" t="s">
        <v>296</v>
      </c>
      <c r="B482" s="217">
        <v>75243</v>
      </c>
      <c r="C482" s="217"/>
      <c r="D482" s="217">
        <v>5350</v>
      </c>
      <c r="E482" s="217">
        <f t="shared" si="48"/>
        <v>80593</v>
      </c>
    </row>
    <row r="483" spans="1:5" x14ac:dyDescent="0.2">
      <c r="A483" s="208" t="s">
        <v>297</v>
      </c>
      <c r="B483" s="217">
        <v>48600</v>
      </c>
      <c r="C483" s="217"/>
      <c r="D483" s="217">
        <v>950</v>
      </c>
      <c r="E483" s="217">
        <f t="shared" si="48"/>
        <v>49550</v>
      </c>
    </row>
    <row r="484" spans="1:5" x14ac:dyDescent="0.2">
      <c r="A484" s="210" t="s">
        <v>337</v>
      </c>
      <c r="B484" s="215">
        <f>B485+B486</f>
        <v>27834</v>
      </c>
      <c r="C484" s="215">
        <f>C485+C486</f>
        <v>0</v>
      </c>
      <c r="D484" s="215">
        <f>D485+D486</f>
        <v>4500</v>
      </c>
      <c r="E484" s="215">
        <f t="shared" si="48"/>
        <v>32334</v>
      </c>
    </row>
    <row r="485" spans="1:5" x14ac:dyDescent="0.2">
      <c r="A485" s="209" t="s">
        <v>365</v>
      </c>
      <c r="B485" s="218">
        <v>21500</v>
      </c>
      <c r="C485" s="218"/>
      <c r="D485" s="217">
        <v>4500</v>
      </c>
      <c r="E485" s="218">
        <f t="shared" si="48"/>
        <v>26000</v>
      </c>
    </row>
    <row r="486" spans="1:5" x14ac:dyDescent="0.2">
      <c r="A486" s="209" t="s">
        <v>338</v>
      </c>
      <c r="B486" s="218">
        <v>6334</v>
      </c>
      <c r="C486" s="218"/>
      <c r="D486" s="217"/>
      <c r="E486" s="218">
        <f t="shared" si="48"/>
        <v>6334</v>
      </c>
    </row>
    <row r="487" spans="1:5" x14ac:dyDescent="0.2">
      <c r="A487" s="210" t="s">
        <v>299</v>
      </c>
      <c r="B487" s="215">
        <f>SUM(B488:B489)</f>
        <v>67000</v>
      </c>
      <c r="C487" s="215">
        <f>SUM(C488:C489)</f>
        <v>5000</v>
      </c>
      <c r="D487" s="215">
        <f>SUM(D488:D489)</f>
        <v>960</v>
      </c>
      <c r="E487" s="215">
        <f t="shared" si="48"/>
        <v>72960</v>
      </c>
    </row>
    <row r="488" spans="1:5" x14ac:dyDescent="0.2">
      <c r="A488" s="208" t="s">
        <v>7</v>
      </c>
      <c r="B488" s="217">
        <v>58000</v>
      </c>
      <c r="C488" s="217">
        <v>5000</v>
      </c>
      <c r="D488" s="217">
        <v>960</v>
      </c>
      <c r="E488" s="217">
        <f t="shared" si="48"/>
        <v>63960</v>
      </c>
    </row>
    <row r="489" spans="1:5" x14ac:dyDescent="0.2">
      <c r="A489" s="209" t="s">
        <v>339</v>
      </c>
      <c r="B489" s="218">
        <v>9000</v>
      </c>
      <c r="C489" s="218"/>
      <c r="D489" s="217"/>
      <c r="E489" s="218">
        <f t="shared" si="48"/>
        <v>9000</v>
      </c>
    </row>
    <row r="490" spans="1:5" x14ac:dyDescent="0.2">
      <c r="A490" s="209"/>
      <c r="B490" s="218"/>
      <c r="C490" s="218"/>
      <c r="D490" s="217"/>
      <c r="E490" s="218">
        <f t="shared" si="48"/>
        <v>0</v>
      </c>
    </row>
    <row r="491" spans="1:5" x14ac:dyDescent="0.2">
      <c r="A491" s="224" t="s">
        <v>8</v>
      </c>
      <c r="B491" s="225">
        <f>B492+B495</f>
        <v>39030</v>
      </c>
      <c r="C491" s="225">
        <f>C492+C495</f>
        <v>0</v>
      </c>
      <c r="D491" s="215">
        <f>D492+D495</f>
        <v>5570</v>
      </c>
      <c r="E491" s="225">
        <f t="shared" si="48"/>
        <v>44600</v>
      </c>
    </row>
    <row r="492" spans="1:5" x14ac:dyDescent="0.2">
      <c r="A492" s="210" t="s">
        <v>310</v>
      </c>
      <c r="B492" s="215">
        <f>SUM(B493:B494)</f>
        <v>25630</v>
      </c>
      <c r="C492" s="215">
        <f>SUM(C493:C494)</f>
        <v>0</v>
      </c>
      <c r="D492" s="215">
        <f>SUM(D493:D494)</f>
        <v>3770</v>
      </c>
      <c r="E492" s="215">
        <f t="shared" si="48"/>
        <v>29400</v>
      </c>
    </row>
    <row r="493" spans="1:5" x14ac:dyDescent="0.2">
      <c r="A493" s="209" t="s">
        <v>323</v>
      </c>
      <c r="B493" s="218">
        <v>630</v>
      </c>
      <c r="C493" s="218"/>
      <c r="D493" s="217">
        <v>-630</v>
      </c>
      <c r="E493" s="218">
        <f t="shared" si="48"/>
        <v>0</v>
      </c>
    </row>
    <row r="494" spans="1:5" ht="25.5" x14ac:dyDescent="0.2">
      <c r="A494" s="209" t="s">
        <v>332</v>
      </c>
      <c r="B494" s="218">
        <v>25000</v>
      </c>
      <c r="C494" s="218"/>
      <c r="D494" s="217">
        <v>4400</v>
      </c>
      <c r="E494" s="218">
        <f t="shared" si="48"/>
        <v>29400</v>
      </c>
    </row>
    <row r="495" spans="1:5" x14ac:dyDescent="0.2">
      <c r="A495" s="210" t="s">
        <v>311</v>
      </c>
      <c r="B495" s="215">
        <f>SUM(B496:B496)</f>
        <v>13400</v>
      </c>
      <c r="C495" s="215">
        <f>SUM(C496:C496)</f>
        <v>0</v>
      </c>
      <c r="D495" s="215">
        <f>SUM(D496:D496)</f>
        <v>1800</v>
      </c>
      <c r="E495" s="215">
        <f t="shared" si="48"/>
        <v>15200</v>
      </c>
    </row>
    <row r="496" spans="1:5" x14ac:dyDescent="0.2">
      <c r="A496" s="208" t="s">
        <v>322</v>
      </c>
      <c r="B496" s="217">
        <v>13400</v>
      </c>
      <c r="C496" s="217"/>
      <c r="D496" s="217">
        <v>1800</v>
      </c>
      <c r="E496" s="217">
        <f t="shared" si="48"/>
        <v>15200</v>
      </c>
    </row>
    <row r="497" spans="1:5" x14ac:dyDescent="0.2">
      <c r="A497" s="208"/>
      <c r="B497" s="217"/>
      <c r="C497" s="217"/>
      <c r="D497" s="217"/>
      <c r="E497" s="217">
        <f t="shared" si="48"/>
        <v>0</v>
      </c>
    </row>
    <row r="498" spans="1:5" x14ac:dyDescent="0.2">
      <c r="A498" s="210" t="s">
        <v>9</v>
      </c>
      <c r="B498" s="215">
        <f>B499</f>
        <v>17400</v>
      </c>
      <c r="C498" s="215">
        <f>C499</f>
        <v>0</v>
      </c>
      <c r="D498" s="215">
        <f>D499</f>
        <v>0</v>
      </c>
      <c r="E498" s="215">
        <f t="shared" si="48"/>
        <v>17400</v>
      </c>
    </row>
    <row r="499" spans="1:5" x14ac:dyDescent="0.2">
      <c r="A499" s="210" t="s">
        <v>348</v>
      </c>
      <c r="B499" s="215">
        <f>SUM(B500:B504)</f>
        <v>17400</v>
      </c>
      <c r="C499" s="215">
        <f>SUM(C500:C504)</f>
        <v>0</v>
      </c>
      <c r="D499" s="215">
        <f>SUM(D500:D504)</f>
        <v>0</v>
      </c>
      <c r="E499" s="215">
        <f t="shared" si="48"/>
        <v>17400</v>
      </c>
    </row>
    <row r="500" spans="1:5" x14ac:dyDescent="0.2">
      <c r="A500" s="221" t="s">
        <v>6</v>
      </c>
      <c r="B500" s="222">
        <v>2200</v>
      </c>
      <c r="C500" s="222"/>
      <c r="D500" s="222"/>
      <c r="E500" s="222">
        <f t="shared" si="48"/>
        <v>2200</v>
      </c>
    </row>
    <row r="501" spans="1:5" x14ac:dyDescent="0.2">
      <c r="A501" s="209" t="s">
        <v>350</v>
      </c>
      <c r="B501" s="218">
        <v>10000</v>
      </c>
      <c r="C501" s="218"/>
      <c r="D501" s="217"/>
      <c r="E501" s="218">
        <f t="shared" si="48"/>
        <v>10000</v>
      </c>
    </row>
    <row r="502" spans="1:5" x14ac:dyDescent="0.2">
      <c r="A502" s="209" t="s">
        <v>304</v>
      </c>
      <c r="B502" s="218">
        <v>500</v>
      </c>
      <c r="C502" s="218"/>
      <c r="D502" s="217"/>
      <c r="E502" s="218">
        <f t="shared" si="48"/>
        <v>500</v>
      </c>
    </row>
    <row r="503" spans="1:5" x14ac:dyDescent="0.2">
      <c r="A503" s="209" t="s">
        <v>10</v>
      </c>
      <c r="B503" s="218">
        <v>2000</v>
      </c>
      <c r="C503" s="218"/>
      <c r="D503" s="217"/>
      <c r="E503" s="218">
        <f t="shared" si="48"/>
        <v>2000</v>
      </c>
    </row>
    <row r="504" spans="1:5" x14ac:dyDescent="0.2">
      <c r="A504" s="208" t="s">
        <v>125</v>
      </c>
      <c r="B504" s="217">
        <v>2700</v>
      </c>
      <c r="C504" s="217"/>
      <c r="D504" s="217"/>
      <c r="E504" s="217">
        <f t="shared" si="48"/>
        <v>2700</v>
      </c>
    </row>
    <row r="505" spans="1:5" x14ac:dyDescent="0.2">
      <c r="A505" s="208"/>
      <c r="B505" s="217"/>
      <c r="D505" s="217"/>
      <c r="E505" s="217">
        <f t="shared" si="48"/>
        <v>0</v>
      </c>
    </row>
    <row r="506" spans="1:5" x14ac:dyDescent="0.2">
      <c r="A506" s="211" t="s">
        <v>111</v>
      </c>
      <c r="B506" s="213">
        <f>B508+B523+B531+B539</f>
        <v>4409090</v>
      </c>
      <c r="C506" s="213">
        <f>C508+C523+C531+C539</f>
        <v>267450</v>
      </c>
      <c r="D506" s="213">
        <f>D508+D523+D531+D539</f>
        <v>-10867</v>
      </c>
      <c r="E506" s="213">
        <f t="shared" si="48"/>
        <v>4665673</v>
      </c>
    </row>
    <row r="507" spans="1:5" x14ac:dyDescent="0.2">
      <c r="A507" s="219"/>
      <c r="B507" s="220"/>
      <c r="C507" s="220"/>
      <c r="D507" s="220"/>
      <c r="E507" s="220">
        <f t="shared" si="48"/>
        <v>0</v>
      </c>
    </row>
    <row r="508" spans="1:5" x14ac:dyDescent="0.2">
      <c r="A508" s="210" t="s">
        <v>112</v>
      </c>
      <c r="B508" s="215">
        <f>B509+B512+B516+B519</f>
        <v>4130290</v>
      </c>
      <c r="C508" s="215">
        <f>C509+C512+C516+C519</f>
        <v>249020</v>
      </c>
      <c r="D508" s="215">
        <f>D509+D512+D516+D519</f>
        <v>-15203</v>
      </c>
      <c r="E508" s="215">
        <f t="shared" si="48"/>
        <v>4364107</v>
      </c>
    </row>
    <row r="509" spans="1:5" x14ac:dyDescent="0.2">
      <c r="A509" s="210" t="s">
        <v>342</v>
      </c>
      <c r="B509" s="215">
        <f>SUM(B510:B511)</f>
        <v>55000</v>
      </c>
      <c r="C509" s="215">
        <f>SUM(C510:C511)</f>
        <v>-2000</v>
      </c>
      <c r="D509" s="215">
        <f>SUM(D510:D511)</f>
        <v>-3800</v>
      </c>
      <c r="E509" s="215">
        <f t="shared" si="48"/>
        <v>49200</v>
      </c>
    </row>
    <row r="510" spans="1:5" x14ac:dyDescent="0.2">
      <c r="A510" s="208" t="s">
        <v>343</v>
      </c>
      <c r="B510" s="217">
        <v>33000</v>
      </c>
      <c r="C510" s="217"/>
      <c r="D510" s="217">
        <v>-2300</v>
      </c>
      <c r="E510" s="217">
        <f t="shared" si="48"/>
        <v>30700</v>
      </c>
    </row>
    <row r="511" spans="1:5" x14ac:dyDescent="0.2">
      <c r="A511" s="208" t="s">
        <v>297</v>
      </c>
      <c r="B511" s="217">
        <v>22000</v>
      </c>
      <c r="C511" s="217">
        <v>-2000</v>
      </c>
      <c r="D511" s="217">
        <v>-1500</v>
      </c>
      <c r="E511" s="217">
        <f t="shared" ref="E511:E574" si="54">SUM(B511:D511)</f>
        <v>18500</v>
      </c>
    </row>
    <row r="512" spans="1:5" x14ac:dyDescent="0.2">
      <c r="A512" s="210" t="s">
        <v>295</v>
      </c>
      <c r="B512" s="215">
        <f>SUM(B513:B514)</f>
        <v>2770030</v>
      </c>
      <c r="C512" s="215">
        <f>SUM(C513:C515)</f>
        <v>17430</v>
      </c>
      <c r="D512" s="215">
        <f>SUM(D513:D515)</f>
        <v>-5329</v>
      </c>
      <c r="E512" s="215">
        <f t="shared" si="54"/>
        <v>2782131</v>
      </c>
    </row>
    <row r="513" spans="1:5" x14ac:dyDescent="0.2">
      <c r="A513" s="208" t="s">
        <v>296</v>
      </c>
      <c r="B513" s="217">
        <v>2722030</v>
      </c>
      <c r="C513" s="217"/>
      <c r="D513" s="217">
        <v>-9000</v>
      </c>
      <c r="E513" s="217">
        <f t="shared" si="54"/>
        <v>2713030</v>
      </c>
    </row>
    <row r="514" spans="1:5" x14ac:dyDescent="0.2">
      <c r="A514" s="208" t="s">
        <v>297</v>
      </c>
      <c r="B514" s="217">
        <v>48000</v>
      </c>
      <c r="C514" s="217">
        <v>16300</v>
      </c>
      <c r="D514" s="217">
        <v>2500</v>
      </c>
      <c r="E514" s="217">
        <f t="shared" si="54"/>
        <v>66800</v>
      </c>
    </row>
    <row r="515" spans="1:5" x14ac:dyDescent="0.2">
      <c r="A515" s="291" t="s">
        <v>312</v>
      </c>
      <c r="B515" s="217"/>
      <c r="C515" s="217">
        <v>1130</v>
      </c>
      <c r="D515" s="217">
        <v>1171</v>
      </c>
      <c r="E515" s="217">
        <f t="shared" si="54"/>
        <v>2301</v>
      </c>
    </row>
    <row r="516" spans="1:5" x14ac:dyDescent="0.2">
      <c r="A516" s="224" t="s">
        <v>299</v>
      </c>
      <c r="B516" s="225">
        <f>SUM(B517)</f>
        <v>197760</v>
      </c>
      <c r="C516" s="225">
        <f>SUM(C517+C518)</f>
        <v>69910</v>
      </c>
      <c r="D516" s="215">
        <f>D517+D518</f>
        <v>6157</v>
      </c>
      <c r="E516" s="225">
        <f t="shared" si="54"/>
        <v>273827</v>
      </c>
    </row>
    <row r="517" spans="1:5" x14ac:dyDescent="0.2">
      <c r="A517" s="208" t="s">
        <v>7</v>
      </c>
      <c r="B517" s="217">
        <v>197760</v>
      </c>
      <c r="C517" s="217">
        <v>66910</v>
      </c>
      <c r="D517" s="217">
        <v>4857</v>
      </c>
      <c r="E517" s="217">
        <f t="shared" si="54"/>
        <v>269527</v>
      </c>
    </row>
    <row r="518" spans="1:5" x14ac:dyDescent="0.2">
      <c r="A518" s="291" t="s">
        <v>339</v>
      </c>
      <c r="B518" s="217"/>
      <c r="C518" s="292">
        <v>3000</v>
      </c>
      <c r="D518" s="217">
        <v>1300</v>
      </c>
      <c r="E518" s="217">
        <f t="shared" si="54"/>
        <v>4300</v>
      </c>
    </row>
    <row r="519" spans="1:5" x14ac:dyDescent="0.2">
      <c r="A519" s="210" t="s">
        <v>337</v>
      </c>
      <c r="B519" s="215">
        <f>SUM(B520:B521)</f>
        <v>1107500</v>
      </c>
      <c r="C519" s="215">
        <f>SUM(C520:C521)</f>
        <v>163680</v>
      </c>
      <c r="D519" s="215">
        <f>SUM(D520:D521)</f>
        <v>-12231</v>
      </c>
      <c r="E519" s="215">
        <f t="shared" si="54"/>
        <v>1258949</v>
      </c>
    </row>
    <row r="520" spans="1:5" x14ac:dyDescent="0.2">
      <c r="A520" s="209" t="s">
        <v>365</v>
      </c>
      <c r="B520" s="218">
        <v>1091000</v>
      </c>
      <c r="C520" s="218">
        <v>163680</v>
      </c>
      <c r="D520" s="217">
        <v>-9951</v>
      </c>
      <c r="E520" s="218">
        <f t="shared" si="54"/>
        <v>1244729</v>
      </c>
    </row>
    <row r="521" spans="1:5" x14ac:dyDescent="0.2">
      <c r="A521" s="234" t="s">
        <v>367</v>
      </c>
      <c r="B521" s="218">
        <v>16500</v>
      </c>
      <c r="C521" s="218"/>
      <c r="D521" s="217">
        <v>-2280</v>
      </c>
      <c r="E521" s="218">
        <f t="shared" si="54"/>
        <v>14220</v>
      </c>
    </row>
    <row r="522" spans="1:5" x14ac:dyDescent="0.2">
      <c r="A522" s="219"/>
      <c r="B522" s="220"/>
      <c r="C522" s="220"/>
      <c r="D522" s="220"/>
      <c r="E522" s="220">
        <f t="shared" si="54"/>
        <v>0</v>
      </c>
    </row>
    <row r="523" spans="1:5" x14ac:dyDescent="0.2">
      <c r="A523" s="224" t="s">
        <v>113</v>
      </c>
      <c r="B523" s="225">
        <f>B524</f>
        <v>33300</v>
      </c>
      <c r="C523" s="225">
        <f>C524</f>
        <v>650</v>
      </c>
      <c r="D523" s="215">
        <f>D524</f>
        <v>-1300</v>
      </c>
      <c r="E523" s="225">
        <f t="shared" si="54"/>
        <v>32650</v>
      </c>
    </row>
    <row r="524" spans="1:5" x14ac:dyDescent="0.2">
      <c r="A524" s="210" t="s">
        <v>348</v>
      </c>
      <c r="B524" s="215">
        <f>SUM(B525:B529)</f>
        <v>33300</v>
      </c>
      <c r="C524" s="215">
        <f>SUM(C525:C529)</f>
        <v>650</v>
      </c>
      <c r="D524" s="215">
        <f>SUM(D525:D529)</f>
        <v>-1300</v>
      </c>
      <c r="E524" s="215">
        <f t="shared" si="54"/>
        <v>32650</v>
      </c>
    </row>
    <row r="525" spans="1:5" x14ac:dyDescent="0.2">
      <c r="A525" s="209" t="s">
        <v>350</v>
      </c>
      <c r="B525" s="218">
        <v>22200</v>
      </c>
      <c r="C525" s="218"/>
      <c r="D525" s="217">
        <v>-1100</v>
      </c>
      <c r="E525" s="218">
        <f t="shared" si="54"/>
        <v>21100</v>
      </c>
    </row>
    <row r="526" spans="1:5" x14ac:dyDescent="0.2">
      <c r="A526" s="209" t="s">
        <v>304</v>
      </c>
      <c r="B526" s="218">
        <v>1100</v>
      </c>
      <c r="C526" s="218"/>
      <c r="D526" s="217">
        <v>600</v>
      </c>
      <c r="E526" s="218">
        <f t="shared" si="54"/>
        <v>1700</v>
      </c>
    </row>
    <row r="527" spans="1:5" x14ac:dyDescent="0.2">
      <c r="A527" s="209" t="s">
        <v>10</v>
      </c>
      <c r="B527" s="218">
        <v>3100</v>
      </c>
      <c r="C527" s="218">
        <v>400</v>
      </c>
      <c r="D527" s="217"/>
      <c r="E527" s="218">
        <f t="shared" si="54"/>
        <v>3500</v>
      </c>
    </row>
    <row r="528" spans="1:5" x14ac:dyDescent="0.2">
      <c r="A528" s="221" t="s">
        <v>6</v>
      </c>
      <c r="B528" s="222">
        <v>6000</v>
      </c>
      <c r="C528" s="222">
        <v>250</v>
      </c>
      <c r="D528" s="222">
        <v>-800</v>
      </c>
      <c r="E528" s="222">
        <f t="shared" si="54"/>
        <v>5450</v>
      </c>
    </row>
    <row r="529" spans="1:5" x14ac:dyDescent="0.2">
      <c r="A529" s="209" t="s">
        <v>655</v>
      </c>
      <c r="B529" s="222">
        <v>900</v>
      </c>
      <c r="C529" s="222"/>
      <c r="D529" s="222"/>
      <c r="E529" s="222">
        <f t="shared" si="54"/>
        <v>900</v>
      </c>
    </row>
    <row r="530" spans="1:5" x14ac:dyDescent="0.2">
      <c r="A530" s="221"/>
      <c r="B530" s="222"/>
      <c r="C530" s="222"/>
      <c r="D530" s="222"/>
      <c r="E530" s="222">
        <f t="shared" si="54"/>
        <v>0</v>
      </c>
    </row>
    <row r="531" spans="1:5" x14ac:dyDescent="0.2">
      <c r="A531" s="210" t="s">
        <v>584</v>
      </c>
      <c r="B531" s="215">
        <f>B532+B535</f>
        <v>191060</v>
      </c>
      <c r="C531" s="215">
        <f>C532+C535</f>
        <v>-2400</v>
      </c>
      <c r="D531" s="215">
        <f>D532+D535</f>
        <v>-1500</v>
      </c>
      <c r="E531" s="215">
        <f t="shared" si="54"/>
        <v>187160</v>
      </c>
    </row>
    <row r="532" spans="1:5" x14ac:dyDescent="0.2">
      <c r="A532" s="224" t="s">
        <v>299</v>
      </c>
      <c r="B532" s="225">
        <f>B533+B534</f>
        <v>138000</v>
      </c>
      <c r="C532" s="225">
        <f>C533+C534</f>
        <v>-5600</v>
      </c>
      <c r="D532" s="215">
        <f>D533+D534</f>
        <v>-4000</v>
      </c>
      <c r="E532" s="225">
        <f t="shared" si="54"/>
        <v>128400</v>
      </c>
    </row>
    <row r="533" spans="1:5" x14ac:dyDescent="0.2">
      <c r="A533" s="208" t="s">
        <v>323</v>
      </c>
      <c r="B533" s="217">
        <v>128000</v>
      </c>
      <c r="C533" s="217">
        <v>-3700</v>
      </c>
      <c r="D533" s="217">
        <v>-4000</v>
      </c>
      <c r="E533" s="217">
        <f t="shared" si="54"/>
        <v>120300</v>
      </c>
    </row>
    <row r="534" spans="1:5" x14ac:dyDescent="0.2">
      <c r="A534" s="209" t="s">
        <v>585</v>
      </c>
      <c r="B534" s="217">
        <v>10000</v>
      </c>
      <c r="C534" s="217">
        <v>-1900</v>
      </c>
      <c r="D534" s="217"/>
      <c r="E534" s="217">
        <f t="shared" si="54"/>
        <v>8100</v>
      </c>
    </row>
    <row r="535" spans="1:5" x14ac:dyDescent="0.2">
      <c r="A535" s="210" t="s">
        <v>295</v>
      </c>
      <c r="B535" s="215">
        <f>B536+B537</f>
        <v>53060</v>
      </c>
      <c r="C535" s="215">
        <f>C536+C537</f>
        <v>3200</v>
      </c>
      <c r="D535" s="215">
        <f>D536+D537</f>
        <v>2500</v>
      </c>
      <c r="E535" s="215">
        <f t="shared" si="54"/>
        <v>58760</v>
      </c>
    </row>
    <row r="536" spans="1:5" x14ac:dyDescent="0.2">
      <c r="A536" s="208" t="s">
        <v>296</v>
      </c>
      <c r="B536" s="217">
        <v>23560</v>
      </c>
      <c r="C536" s="217"/>
      <c r="D536" s="217"/>
      <c r="E536" s="217">
        <f t="shared" si="54"/>
        <v>23560</v>
      </c>
    </row>
    <row r="537" spans="1:5" x14ac:dyDescent="0.2">
      <c r="A537" s="208" t="s">
        <v>297</v>
      </c>
      <c r="B537" s="217">
        <v>29500</v>
      </c>
      <c r="C537" s="217">
        <v>3200</v>
      </c>
      <c r="D537" s="217">
        <v>2500</v>
      </c>
      <c r="E537" s="217">
        <f t="shared" si="54"/>
        <v>35200</v>
      </c>
    </row>
    <row r="538" spans="1:5" x14ac:dyDescent="0.2">
      <c r="A538" s="208"/>
      <c r="B538" s="217"/>
      <c r="C538" s="217"/>
      <c r="D538" s="217"/>
      <c r="E538" s="217">
        <f t="shared" si="54"/>
        <v>0</v>
      </c>
    </row>
    <row r="539" spans="1:5" x14ac:dyDescent="0.2">
      <c r="A539" s="210" t="s">
        <v>748</v>
      </c>
      <c r="B539" s="215">
        <f>B540+B546</f>
        <v>54440</v>
      </c>
      <c r="C539" s="215">
        <f>C540+C546</f>
        <v>20180</v>
      </c>
      <c r="D539" s="215">
        <f>D540+D546</f>
        <v>7136</v>
      </c>
      <c r="E539" s="215">
        <f t="shared" si="54"/>
        <v>81756</v>
      </c>
    </row>
    <row r="540" spans="1:5" x14ac:dyDescent="0.2">
      <c r="A540" s="210" t="s">
        <v>310</v>
      </c>
      <c r="B540" s="215">
        <f>B541+B542+B543</f>
        <v>33700</v>
      </c>
      <c r="C540" s="215">
        <f>C541+C542+C543+C544+C545</f>
        <v>24700</v>
      </c>
      <c r="D540" s="215">
        <f>D541+D542+D543+D544</f>
        <v>4600</v>
      </c>
      <c r="E540" s="215">
        <f t="shared" si="54"/>
        <v>63000</v>
      </c>
    </row>
    <row r="541" spans="1:5" ht="25.5" x14ac:dyDescent="0.2">
      <c r="A541" s="209" t="s">
        <v>332</v>
      </c>
      <c r="B541" s="218">
        <v>18000</v>
      </c>
      <c r="C541" s="218">
        <v>15900</v>
      </c>
      <c r="D541" s="217"/>
      <c r="E541" s="218">
        <f t="shared" si="54"/>
        <v>33900</v>
      </c>
    </row>
    <row r="542" spans="1:5" x14ac:dyDescent="0.2">
      <c r="A542" s="208" t="s">
        <v>323</v>
      </c>
      <c r="B542" s="217">
        <v>15500</v>
      </c>
      <c r="C542" s="217">
        <v>-1000</v>
      </c>
      <c r="D542" s="217">
        <v>4000</v>
      </c>
      <c r="E542" s="217">
        <f t="shared" si="54"/>
        <v>18500</v>
      </c>
    </row>
    <row r="543" spans="1:5" x14ac:dyDescent="0.2">
      <c r="A543" s="208" t="s">
        <v>320</v>
      </c>
      <c r="B543" s="217">
        <v>200</v>
      </c>
      <c r="C543" s="217">
        <v>500</v>
      </c>
      <c r="D543" s="217">
        <v>-400</v>
      </c>
      <c r="E543" s="217">
        <f t="shared" si="54"/>
        <v>300</v>
      </c>
    </row>
    <row r="544" spans="1:5" x14ac:dyDescent="0.2">
      <c r="A544" s="291" t="s">
        <v>749</v>
      </c>
      <c r="B544" s="217"/>
      <c r="C544" s="217">
        <v>9000</v>
      </c>
      <c r="D544" s="217">
        <v>1000</v>
      </c>
      <c r="E544" s="217">
        <f t="shared" si="54"/>
        <v>10000</v>
      </c>
    </row>
    <row r="545" spans="1:5" x14ac:dyDescent="0.2">
      <c r="A545" s="291" t="s">
        <v>321</v>
      </c>
      <c r="B545" s="217"/>
      <c r="C545" s="217">
        <v>300</v>
      </c>
      <c r="D545" s="217"/>
      <c r="E545" s="217">
        <f t="shared" si="54"/>
        <v>300</v>
      </c>
    </row>
    <row r="546" spans="1:5" x14ac:dyDescent="0.2">
      <c r="A546" s="210" t="s">
        <v>311</v>
      </c>
      <c r="B546" s="215">
        <f>SUM(B547:B551)</f>
        <v>20740</v>
      </c>
      <c r="C546" s="215">
        <f>SUM(C547:C551)</f>
        <v>-4520</v>
      </c>
      <c r="D546" s="215">
        <f>SUM(D547:D551)</f>
        <v>2536</v>
      </c>
      <c r="E546" s="215">
        <f t="shared" si="54"/>
        <v>18756</v>
      </c>
    </row>
    <row r="547" spans="1:5" x14ac:dyDescent="0.2">
      <c r="A547" s="209" t="s">
        <v>10</v>
      </c>
      <c r="B547" s="218">
        <v>180</v>
      </c>
      <c r="C547" s="218"/>
      <c r="D547" s="217"/>
      <c r="E547" s="218">
        <f t="shared" si="54"/>
        <v>180</v>
      </c>
    </row>
    <row r="548" spans="1:5" x14ac:dyDescent="0.2">
      <c r="A548" s="209" t="s">
        <v>587</v>
      </c>
      <c r="B548" s="218">
        <v>200</v>
      </c>
      <c r="C548" s="218"/>
      <c r="D548" s="217"/>
      <c r="E548" s="218">
        <f t="shared" si="54"/>
        <v>200</v>
      </c>
    </row>
    <row r="549" spans="1:5" ht="25.5" x14ac:dyDescent="0.2">
      <c r="A549" s="209" t="s">
        <v>324</v>
      </c>
      <c r="B549" s="218">
        <v>18130</v>
      </c>
      <c r="C549" s="218">
        <v>-4520</v>
      </c>
      <c r="D549" s="217">
        <v>3796</v>
      </c>
      <c r="E549" s="218">
        <f t="shared" si="54"/>
        <v>17406</v>
      </c>
    </row>
    <row r="550" spans="1:5" x14ac:dyDescent="0.2">
      <c r="A550" s="209" t="s">
        <v>39</v>
      </c>
      <c r="B550" s="218">
        <v>70</v>
      </c>
      <c r="C550" s="218"/>
      <c r="D550" s="217"/>
      <c r="E550" s="218">
        <f t="shared" si="54"/>
        <v>70</v>
      </c>
    </row>
    <row r="551" spans="1:5" x14ac:dyDescent="0.2">
      <c r="A551" s="209" t="s">
        <v>322</v>
      </c>
      <c r="B551" s="218">
        <v>2160</v>
      </c>
      <c r="C551" s="218"/>
      <c r="D551" s="217">
        <v>-1260</v>
      </c>
      <c r="E551" s="218">
        <f t="shared" si="54"/>
        <v>900</v>
      </c>
    </row>
    <row r="552" spans="1:5" x14ac:dyDescent="0.2">
      <c r="A552" s="209"/>
      <c r="B552" s="218"/>
      <c r="C552" s="218"/>
      <c r="D552" s="217"/>
      <c r="E552" s="218">
        <f t="shared" si="54"/>
        <v>0</v>
      </c>
    </row>
    <row r="553" spans="1:5" x14ac:dyDescent="0.2">
      <c r="A553" s="211" t="s">
        <v>114</v>
      </c>
      <c r="B553" s="213">
        <f>B555+B569</f>
        <v>285462</v>
      </c>
      <c r="C553" s="213">
        <f>C555+C569</f>
        <v>-29462</v>
      </c>
      <c r="D553" s="213">
        <f>D555+D569</f>
        <v>-6655</v>
      </c>
      <c r="E553" s="213">
        <f t="shared" si="54"/>
        <v>249345</v>
      </c>
    </row>
    <row r="554" spans="1:5" x14ac:dyDescent="0.2">
      <c r="A554" s="219"/>
      <c r="B554" s="220"/>
      <c r="C554" s="220"/>
      <c r="D554" s="220"/>
      <c r="E554" s="220">
        <f t="shared" si="54"/>
        <v>0</v>
      </c>
    </row>
    <row r="555" spans="1:5" x14ac:dyDescent="0.2">
      <c r="A555" s="210" t="s">
        <v>115</v>
      </c>
      <c r="B555" s="215">
        <f>B556+B560+B563+B565</f>
        <v>257412</v>
      </c>
      <c r="C555" s="215">
        <f>C556+C560+C563+C565</f>
        <v>-27962</v>
      </c>
      <c r="D555" s="215">
        <f>D556+D560+D563+D565</f>
        <v>-6605</v>
      </c>
      <c r="E555" s="215">
        <f t="shared" si="54"/>
        <v>222845</v>
      </c>
    </row>
    <row r="556" spans="1:5" x14ac:dyDescent="0.2">
      <c r="A556" s="210" t="s">
        <v>342</v>
      </c>
      <c r="B556" s="215">
        <f>SUM(B557:B559)</f>
        <v>32500</v>
      </c>
      <c r="C556" s="215">
        <f>SUM(C557:C559)</f>
        <v>-2050</v>
      </c>
      <c r="D556" s="215">
        <f>SUM(D557:D559)</f>
        <v>0</v>
      </c>
      <c r="E556" s="215">
        <f t="shared" si="54"/>
        <v>30450</v>
      </c>
    </row>
    <row r="557" spans="1:5" x14ac:dyDescent="0.2">
      <c r="A557" s="208" t="s">
        <v>343</v>
      </c>
      <c r="B557" s="217">
        <v>10800</v>
      </c>
      <c r="C557" s="217"/>
      <c r="D557" s="217">
        <v>1400</v>
      </c>
      <c r="E557" s="217">
        <f t="shared" si="54"/>
        <v>12200</v>
      </c>
    </row>
    <row r="558" spans="1:5" x14ac:dyDescent="0.2">
      <c r="A558" s="209" t="s">
        <v>5</v>
      </c>
      <c r="B558" s="218">
        <v>1500</v>
      </c>
      <c r="C558" s="218"/>
      <c r="D558" s="217">
        <v>-888</v>
      </c>
      <c r="E558" s="218">
        <f t="shared" si="54"/>
        <v>612</v>
      </c>
    </row>
    <row r="559" spans="1:5" x14ac:dyDescent="0.2">
      <c r="A559" s="208" t="s">
        <v>297</v>
      </c>
      <c r="B559" s="217">
        <v>20200</v>
      </c>
      <c r="C559" s="217">
        <v>-2050</v>
      </c>
      <c r="D559" s="217">
        <v>-512</v>
      </c>
      <c r="E559" s="217">
        <f t="shared" si="54"/>
        <v>17638</v>
      </c>
    </row>
    <row r="560" spans="1:5" x14ac:dyDescent="0.2">
      <c r="A560" s="210" t="s">
        <v>295</v>
      </c>
      <c r="B560" s="215">
        <f>SUM(B561:B562)</f>
        <v>51612</v>
      </c>
      <c r="C560" s="215">
        <f>SUM(C561:C562)</f>
        <v>-26912</v>
      </c>
      <c r="D560" s="215">
        <f>SUM(D561:D562)</f>
        <v>865</v>
      </c>
      <c r="E560" s="215">
        <f t="shared" si="54"/>
        <v>25565</v>
      </c>
    </row>
    <row r="561" spans="1:5" x14ac:dyDescent="0.2">
      <c r="A561" s="208" t="s">
        <v>296</v>
      </c>
      <c r="B561" s="217">
        <f>23200+15000</f>
        <v>38200</v>
      </c>
      <c r="C561" s="217">
        <v>-15000</v>
      </c>
      <c r="D561" s="217">
        <v>865</v>
      </c>
      <c r="E561" s="217">
        <f t="shared" si="54"/>
        <v>24065</v>
      </c>
    </row>
    <row r="562" spans="1:5" x14ac:dyDescent="0.2">
      <c r="A562" s="208" t="s">
        <v>297</v>
      </c>
      <c r="B562" s="217">
        <f>1500+11912</f>
        <v>13412</v>
      </c>
      <c r="C562" s="217">
        <v>-11912</v>
      </c>
      <c r="D562" s="217"/>
      <c r="E562" s="217">
        <f t="shared" si="54"/>
        <v>1500</v>
      </c>
    </row>
    <row r="563" spans="1:5" x14ac:dyDescent="0.2">
      <c r="A563" s="210" t="s">
        <v>337</v>
      </c>
      <c r="B563" s="215">
        <f>B564</f>
        <v>20800</v>
      </c>
      <c r="C563" s="215">
        <f>C564</f>
        <v>0</v>
      </c>
      <c r="D563" s="215">
        <f>D564</f>
        <v>0</v>
      </c>
      <c r="E563" s="215">
        <f t="shared" si="54"/>
        <v>20800</v>
      </c>
    </row>
    <row r="564" spans="1:5" x14ac:dyDescent="0.2">
      <c r="A564" s="209" t="s">
        <v>365</v>
      </c>
      <c r="B564" s="218">
        <v>20800</v>
      </c>
      <c r="C564" s="218"/>
      <c r="D564" s="217"/>
      <c r="E564" s="218">
        <f t="shared" si="54"/>
        <v>20800</v>
      </c>
    </row>
    <row r="565" spans="1:5" x14ac:dyDescent="0.2">
      <c r="A565" s="210" t="s">
        <v>299</v>
      </c>
      <c r="B565" s="215">
        <f>SUM(B566:B567)</f>
        <v>152500</v>
      </c>
      <c r="C565" s="215">
        <f>SUM(C566:C567)</f>
        <v>1000</v>
      </c>
      <c r="D565" s="215">
        <f>SUM(D566:D567)</f>
        <v>-7470</v>
      </c>
      <c r="E565" s="215">
        <f t="shared" si="54"/>
        <v>146030</v>
      </c>
    </row>
    <row r="566" spans="1:5" x14ac:dyDescent="0.2">
      <c r="A566" s="208" t="s">
        <v>7</v>
      </c>
      <c r="B566" s="217">
        <v>148000</v>
      </c>
      <c r="C566" s="217"/>
      <c r="D566" s="217">
        <v>-7470</v>
      </c>
      <c r="E566" s="217">
        <f t="shared" si="54"/>
        <v>140530</v>
      </c>
    </row>
    <row r="567" spans="1:5" x14ac:dyDescent="0.2">
      <c r="A567" s="209" t="s">
        <v>116</v>
      </c>
      <c r="B567" s="218">
        <v>4500</v>
      </c>
      <c r="C567" s="218">
        <v>1000</v>
      </c>
      <c r="D567" s="217"/>
      <c r="E567" s="218">
        <f t="shared" si="54"/>
        <v>5500</v>
      </c>
    </row>
    <row r="568" spans="1:5" x14ac:dyDescent="0.2">
      <c r="A568" s="210"/>
      <c r="B568" s="215"/>
      <c r="C568" s="215"/>
      <c r="D568" s="215"/>
      <c r="E568" s="215">
        <f t="shared" si="54"/>
        <v>0</v>
      </c>
    </row>
    <row r="569" spans="1:5" x14ac:dyDescent="0.2">
      <c r="A569" s="210" t="s">
        <v>425</v>
      </c>
      <c r="B569" s="215">
        <f>B570</f>
        <v>28050</v>
      </c>
      <c r="C569" s="215">
        <f>C570</f>
        <v>-1500</v>
      </c>
      <c r="D569" s="215">
        <f>D570</f>
        <v>-50</v>
      </c>
      <c r="E569" s="215">
        <f t="shared" si="54"/>
        <v>26500</v>
      </c>
    </row>
    <row r="570" spans="1:5" x14ac:dyDescent="0.2">
      <c r="A570" s="210" t="s">
        <v>348</v>
      </c>
      <c r="B570" s="215">
        <f>SUM(B571:B573)</f>
        <v>28050</v>
      </c>
      <c r="C570" s="215">
        <f>SUM(C571:C573)</f>
        <v>-1500</v>
      </c>
      <c r="D570" s="215">
        <f>SUM(D571:D573)</f>
        <v>-50</v>
      </c>
      <c r="E570" s="215">
        <f t="shared" si="54"/>
        <v>26500</v>
      </c>
    </row>
    <row r="571" spans="1:5" x14ac:dyDescent="0.2">
      <c r="A571" s="209" t="s">
        <v>304</v>
      </c>
      <c r="B571" s="218">
        <v>11000</v>
      </c>
      <c r="C571" s="218"/>
      <c r="D571" s="217"/>
      <c r="E571" s="218">
        <f t="shared" si="54"/>
        <v>11000</v>
      </c>
    </row>
    <row r="572" spans="1:5" x14ac:dyDescent="0.2">
      <c r="A572" s="221" t="s">
        <v>350</v>
      </c>
      <c r="B572" s="222">
        <v>13000</v>
      </c>
      <c r="C572" s="222">
        <v>-1500</v>
      </c>
      <c r="D572" s="222">
        <v>-1000</v>
      </c>
      <c r="E572" s="222">
        <f t="shared" si="54"/>
        <v>10500</v>
      </c>
    </row>
    <row r="573" spans="1:5" x14ac:dyDescent="0.2">
      <c r="A573" s="208" t="s">
        <v>6</v>
      </c>
      <c r="B573" s="217">
        <v>4050</v>
      </c>
      <c r="C573" s="217"/>
      <c r="D573" s="217">
        <v>950</v>
      </c>
      <c r="E573" s="217">
        <f t="shared" si="54"/>
        <v>5000</v>
      </c>
    </row>
    <row r="574" spans="1:5" x14ac:dyDescent="0.2">
      <c r="A574" s="209"/>
      <c r="B574" s="218"/>
      <c r="C574" s="218"/>
      <c r="D574" s="217"/>
      <c r="E574" s="218">
        <f t="shared" si="54"/>
        <v>0</v>
      </c>
    </row>
    <row r="575" spans="1:5" x14ac:dyDescent="0.2">
      <c r="A575" s="211" t="s">
        <v>117</v>
      </c>
      <c r="B575" s="213">
        <f>B577+B593+B600+B609+B615+B621</f>
        <v>1242800</v>
      </c>
      <c r="C575" s="213">
        <f>C577+C593+C600+C609+C615+C621</f>
        <v>63790</v>
      </c>
      <c r="D575" s="213">
        <f>D577+D593+D600+D609+D615+D621</f>
        <v>24225</v>
      </c>
      <c r="E575" s="213">
        <f t="shared" ref="E575:E638" si="55">SUM(B575:D575)</f>
        <v>1330815</v>
      </c>
    </row>
    <row r="576" spans="1:5" x14ac:dyDescent="0.2">
      <c r="A576" s="219"/>
      <c r="B576" s="220"/>
      <c r="C576" s="220"/>
      <c r="D576" s="220"/>
      <c r="E576" s="220">
        <f t="shared" si="55"/>
        <v>0</v>
      </c>
    </row>
    <row r="577" spans="1:5" x14ac:dyDescent="0.2">
      <c r="A577" s="210" t="s">
        <v>118</v>
      </c>
      <c r="B577" s="215">
        <f>B578+B582+B586+B590</f>
        <v>928225</v>
      </c>
      <c r="C577" s="215">
        <f>C578+C582+C586+C590</f>
        <v>56625</v>
      </c>
      <c r="D577" s="215">
        <f>D578+D582+D586+D590</f>
        <v>-875</v>
      </c>
      <c r="E577" s="215">
        <f t="shared" si="55"/>
        <v>983975</v>
      </c>
    </row>
    <row r="578" spans="1:5" x14ac:dyDescent="0.2">
      <c r="A578" s="210" t="s">
        <v>342</v>
      </c>
      <c r="B578" s="215">
        <f>SUM(B579:B581)</f>
        <v>518000</v>
      </c>
      <c r="C578" s="215">
        <f>SUM(C579:C581)</f>
        <v>0</v>
      </c>
      <c r="D578" s="215">
        <f>SUM(D579:D581)</f>
        <v>-2955</v>
      </c>
      <c r="E578" s="215">
        <f t="shared" si="55"/>
        <v>515045</v>
      </c>
    </row>
    <row r="579" spans="1:5" x14ac:dyDescent="0.2">
      <c r="A579" s="208" t="s">
        <v>343</v>
      </c>
      <c r="B579" s="217">
        <v>175000</v>
      </c>
      <c r="C579" s="217"/>
      <c r="D579" s="217"/>
      <c r="E579" s="217">
        <f t="shared" si="55"/>
        <v>175000</v>
      </c>
    </row>
    <row r="580" spans="1:5" x14ac:dyDescent="0.2">
      <c r="A580" s="209" t="s">
        <v>5</v>
      </c>
      <c r="B580" s="218">
        <v>9000</v>
      </c>
      <c r="C580" s="218"/>
      <c r="D580" s="217">
        <v>-2955</v>
      </c>
      <c r="E580" s="218">
        <f t="shared" si="55"/>
        <v>6045</v>
      </c>
    </row>
    <row r="581" spans="1:5" x14ac:dyDescent="0.2">
      <c r="A581" s="208" t="s">
        <v>297</v>
      </c>
      <c r="B581" s="217">
        <v>334000</v>
      </c>
      <c r="C581" s="217"/>
      <c r="D581" s="217"/>
      <c r="E581" s="217">
        <f t="shared" si="55"/>
        <v>334000</v>
      </c>
    </row>
    <row r="582" spans="1:5" x14ac:dyDescent="0.2">
      <c r="A582" s="210" t="s">
        <v>295</v>
      </c>
      <c r="B582" s="215">
        <f>SUM(B583:B585)</f>
        <v>115000</v>
      </c>
      <c r="C582" s="215">
        <f>SUM(C583:C585)</f>
        <v>56600</v>
      </c>
      <c r="D582" s="215">
        <f>SUM(D583:D585)</f>
        <v>-14510</v>
      </c>
      <c r="E582" s="215">
        <f t="shared" si="55"/>
        <v>157090</v>
      </c>
    </row>
    <row r="583" spans="1:5" x14ac:dyDescent="0.2">
      <c r="A583" s="208" t="s">
        <v>296</v>
      </c>
      <c r="B583" s="217">
        <v>78600</v>
      </c>
      <c r="C583" s="217">
        <v>12500</v>
      </c>
      <c r="D583" s="217">
        <v>6490</v>
      </c>
      <c r="E583" s="217">
        <f t="shared" si="55"/>
        <v>97590</v>
      </c>
    </row>
    <row r="584" spans="1:5" x14ac:dyDescent="0.2">
      <c r="A584" s="208" t="s">
        <v>297</v>
      </c>
      <c r="B584" s="217">
        <v>35500</v>
      </c>
      <c r="C584" s="217">
        <v>45000</v>
      </c>
      <c r="D584" s="217">
        <v>-21000</v>
      </c>
      <c r="E584" s="217">
        <f t="shared" si="55"/>
        <v>59500</v>
      </c>
    </row>
    <row r="585" spans="1:5" x14ac:dyDescent="0.2">
      <c r="A585" s="208" t="s">
        <v>312</v>
      </c>
      <c r="B585" s="217">
        <v>900</v>
      </c>
      <c r="C585" s="217">
        <v>-900</v>
      </c>
      <c r="D585" s="217"/>
      <c r="E585" s="217">
        <f t="shared" si="55"/>
        <v>0</v>
      </c>
    </row>
    <row r="586" spans="1:5" x14ac:dyDescent="0.2">
      <c r="A586" s="210" t="s">
        <v>337</v>
      </c>
      <c r="B586" s="215">
        <f>SUM(B587:B589)</f>
        <v>176955</v>
      </c>
      <c r="C586" s="215">
        <f>SUM(C587:C589)</f>
        <v>25</v>
      </c>
      <c r="D586" s="215">
        <f>SUM(D587:D589)</f>
        <v>7290</v>
      </c>
      <c r="E586" s="215">
        <f t="shared" si="55"/>
        <v>184270</v>
      </c>
    </row>
    <row r="587" spans="1:5" x14ac:dyDescent="0.2">
      <c r="A587" s="209" t="s">
        <v>365</v>
      </c>
      <c r="B587" s="218">
        <v>93130</v>
      </c>
      <c r="C587" s="218"/>
      <c r="D587" s="217">
        <v>-1510</v>
      </c>
      <c r="E587" s="218">
        <f t="shared" si="55"/>
        <v>91620</v>
      </c>
    </row>
    <row r="588" spans="1:5" x14ac:dyDescent="0.2">
      <c r="A588" s="209" t="s">
        <v>338</v>
      </c>
      <c r="B588" s="218">
        <v>83700</v>
      </c>
      <c r="C588" s="218"/>
      <c r="D588" s="217">
        <v>8800</v>
      </c>
      <c r="E588" s="218">
        <f t="shared" si="55"/>
        <v>92500</v>
      </c>
    </row>
    <row r="589" spans="1:5" x14ac:dyDescent="0.2">
      <c r="A589" s="234" t="s">
        <v>367</v>
      </c>
      <c r="B589" s="218">
        <v>125</v>
      </c>
      <c r="C589" s="218">
        <v>25</v>
      </c>
      <c r="D589" s="217"/>
      <c r="E589" s="218">
        <f t="shared" si="55"/>
        <v>150</v>
      </c>
    </row>
    <row r="590" spans="1:5" x14ac:dyDescent="0.2">
      <c r="A590" s="210" t="s">
        <v>299</v>
      </c>
      <c r="B590" s="215">
        <f>B591</f>
        <v>118270</v>
      </c>
      <c r="C590" s="215">
        <f>C591</f>
        <v>0</v>
      </c>
      <c r="D590" s="215">
        <f>D591</f>
        <v>9300</v>
      </c>
      <c r="E590" s="215">
        <f t="shared" si="55"/>
        <v>127570</v>
      </c>
    </row>
    <row r="591" spans="1:5" x14ac:dyDescent="0.2">
      <c r="A591" s="208" t="s">
        <v>7</v>
      </c>
      <c r="B591" s="217">
        <v>118270</v>
      </c>
      <c r="C591" s="217"/>
      <c r="D591" s="217">
        <v>9300</v>
      </c>
      <c r="E591" s="217">
        <f t="shared" si="55"/>
        <v>127570</v>
      </c>
    </row>
    <row r="592" spans="1:5" x14ac:dyDescent="0.2">
      <c r="A592" s="209"/>
      <c r="B592" s="218"/>
      <c r="C592" s="218"/>
      <c r="D592" s="217"/>
      <c r="E592" s="218">
        <f t="shared" si="55"/>
        <v>0</v>
      </c>
    </row>
    <row r="593" spans="1:5" x14ac:dyDescent="0.2">
      <c r="A593" s="224" t="s">
        <v>119</v>
      </c>
      <c r="B593" s="225">
        <f>B594+B596</f>
        <v>122800</v>
      </c>
      <c r="C593" s="225">
        <f>C594+C596</f>
        <v>0</v>
      </c>
      <c r="D593" s="215">
        <f>D594+D596</f>
        <v>0</v>
      </c>
      <c r="E593" s="225">
        <f t="shared" si="55"/>
        <v>122800</v>
      </c>
    </row>
    <row r="594" spans="1:5" x14ac:dyDescent="0.2">
      <c r="A594" s="210" t="s">
        <v>311</v>
      </c>
      <c r="B594" s="215">
        <f>B595</f>
        <v>71500</v>
      </c>
      <c r="C594" s="215">
        <f>C595</f>
        <v>0</v>
      </c>
      <c r="D594" s="215">
        <f>D595</f>
        <v>-3340</v>
      </c>
      <c r="E594" s="215">
        <f t="shared" si="55"/>
        <v>68160</v>
      </c>
    </row>
    <row r="595" spans="1:5" x14ac:dyDescent="0.2">
      <c r="A595" s="208" t="s">
        <v>734</v>
      </c>
      <c r="B595" s="218">
        <v>71500</v>
      </c>
      <c r="C595" s="218"/>
      <c r="D595" s="217">
        <v>-3340</v>
      </c>
      <c r="E595" s="218">
        <f t="shared" si="55"/>
        <v>68160</v>
      </c>
    </row>
    <row r="596" spans="1:5" x14ac:dyDescent="0.2">
      <c r="A596" s="210" t="s">
        <v>295</v>
      </c>
      <c r="B596" s="215">
        <f>SUM(B597:B598)</f>
        <v>51300</v>
      </c>
      <c r="C596" s="215">
        <f>SUM(C597:C598)</f>
        <v>0</v>
      </c>
      <c r="D596" s="215">
        <f>SUM(D597:D598)</f>
        <v>3340</v>
      </c>
      <c r="E596" s="215">
        <f t="shared" si="55"/>
        <v>54640</v>
      </c>
    </row>
    <row r="597" spans="1:5" x14ac:dyDescent="0.2">
      <c r="A597" s="208" t="s">
        <v>296</v>
      </c>
      <c r="B597" s="217">
        <v>43000</v>
      </c>
      <c r="C597" s="217"/>
      <c r="D597" s="217">
        <v>2040</v>
      </c>
      <c r="E597" s="217">
        <f t="shared" si="55"/>
        <v>45040</v>
      </c>
    </row>
    <row r="598" spans="1:5" x14ac:dyDescent="0.2">
      <c r="A598" s="208" t="s">
        <v>297</v>
      </c>
      <c r="B598" s="217">
        <v>8300</v>
      </c>
      <c r="C598" s="217"/>
      <c r="D598" s="217">
        <v>1300</v>
      </c>
      <c r="E598" s="217">
        <f t="shared" si="55"/>
        <v>9600</v>
      </c>
    </row>
    <row r="599" spans="1:5" x14ac:dyDescent="0.2">
      <c r="A599" s="208"/>
      <c r="B599" s="217"/>
      <c r="C599" s="217"/>
      <c r="D599" s="217"/>
      <c r="E599" s="217">
        <f t="shared" si="55"/>
        <v>0</v>
      </c>
    </row>
    <row r="600" spans="1:5" x14ac:dyDescent="0.2">
      <c r="A600" s="210" t="s">
        <v>120</v>
      </c>
      <c r="B600" s="215">
        <f>B601+B605</f>
        <v>96500</v>
      </c>
      <c r="C600" s="215">
        <f>C601+C605</f>
        <v>0</v>
      </c>
      <c r="D600" s="215">
        <f>D601+D605</f>
        <v>10500</v>
      </c>
      <c r="E600" s="215">
        <f t="shared" si="55"/>
        <v>107000</v>
      </c>
    </row>
    <row r="601" spans="1:5" x14ac:dyDescent="0.2">
      <c r="A601" s="210" t="s">
        <v>310</v>
      </c>
      <c r="B601" s="215">
        <f>SUM(B602:B604)</f>
        <v>44500</v>
      </c>
      <c r="C601" s="215">
        <f>SUM(C602:C604)</f>
        <v>0</v>
      </c>
      <c r="D601" s="215">
        <f>SUM(D602:D604)</f>
        <v>10500</v>
      </c>
      <c r="E601" s="215">
        <f t="shared" si="55"/>
        <v>55000</v>
      </c>
    </row>
    <row r="602" spans="1:5" x14ac:dyDescent="0.2">
      <c r="A602" s="208" t="s">
        <v>323</v>
      </c>
      <c r="B602" s="217">
        <v>4000</v>
      </c>
      <c r="C602" s="217"/>
      <c r="D602" s="217">
        <v>1500</v>
      </c>
      <c r="E602" s="217">
        <f t="shared" si="55"/>
        <v>5500</v>
      </c>
    </row>
    <row r="603" spans="1:5" ht="25.5" x14ac:dyDescent="0.2">
      <c r="A603" s="209" t="s">
        <v>332</v>
      </c>
      <c r="B603" s="218">
        <v>35000</v>
      </c>
      <c r="C603" s="218"/>
      <c r="D603" s="217">
        <v>6000</v>
      </c>
      <c r="E603" s="218">
        <f t="shared" si="55"/>
        <v>41000</v>
      </c>
    </row>
    <row r="604" spans="1:5" ht="25.5" x14ac:dyDescent="0.2">
      <c r="A604" s="209" t="s">
        <v>320</v>
      </c>
      <c r="B604" s="218">
        <v>5500</v>
      </c>
      <c r="C604" s="218"/>
      <c r="D604" s="217">
        <v>3000</v>
      </c>
      <c r="E604" s="218">
        <f t="shared" si="55"/>
        <v>8500</v>
      </c>
    </row>
    <row r="605" spans="1:5" x14ac:dyDescent="0.2">
      <c r="A605" s="210" t="s">
        <v>295</v>
      </c>
      <c r="B605" s="215">
        <f>SUM(B606:B607)</f>
        <v>52000</v>
      </c>
      <c r="C605" s="215">
        <f>SUM(C606:C607)</f>
        <v>0</v>
      </c>
      <c r="D605" s="215">
        <f>SUM(D606:D607)</f>
        <v>0</v>
      </c>
      <c r="E605" s="215">
        <f t="shared" si="55"/>
        <v>52000</v>
      </c>
    </row>
    <row r="606" spans="1:5" x14ac:dyDescent="0.2">
      <c r="A606" s="208" t="s">
        <v>296</v>
      </c>
      <c r="B606" s="217">
        <v>36800</v>
      </c>
      <c r="C606" s="217"/>
      <c r="D606" s="217">
        <v>3200</v>
      </c>
      <c r="E606" s="217">
        <f t="shared" si="55"/>
        <v>40000</v>
      </c>
    </row>
    <row r="607" spans="1:5" x14ac:dyDescent="0.2">
      <c r="A607" s="208" t="s">
        <v>297</v>
      </c>
      <c r="B607" s="217">
        <v>15200</v>
      </c>
      <c r="C607" s="217"/>
      <c r="D607" s="217">
        <v>-3200</v>
      </c>
      <c r="E607" s="217">
        <f t="shared" si="55"/>
        <v>12000</v>
      </c>
    </row>
    <row r="608" spans="1:5" x14ac:dyDescent="0.2">
      <c r="A608" s="208"/>
      <c r="B608" s="217"/>
      <c r="C608" s="217"/>
      <c r="D608" s="217"/>
      <c r="E608" s="217">
        <f t="shared" si="55"/>
        <v>0</v>
      </c>
    </row>
    <row r="609" spans="1:5" x14ac:dyDescent="0.2">
      <c r="A609" s="210" t="s">
        <v>121</v>
      </c>
      <c r="B609" s="215">
        <f>B610</f>
        <v>19500</v>
      </c>
      <c r="C609" s="215">
        <f>C610</f>
        <v>0</v>
      </c>
      <c r="D609" s="215">
        <f>D610</f>
        <v>1600</v>
      </c>
      <c r="E609" s="215">
        <f t="shared" si="55"/>
        <v>21100</v>
      </c>
    </row>
    <row r="610" spans="1:5" x14ac:dyDescent="0.2">
      <c r="A610" s="210" t="s">
        <v>348</v>
      </c>
      <c r="B610" s="215">
        <f>SUM(B611:B613)</f>
        <v>19500</v>
      </c>
      <c r="C610" s="215">
        <f>SUM(C611:C613)</f>
        <v>0</v>
      </c>
      <c r="D610" s="215">
        <f>SUM(D611:D613)</f>
        <v>1600</v>
      </c>
      <c r="E610" s="215">
        <f t="shared" si="55"/>
        <v>21100</v>
      </c>
    </row>
    <row r="611" spans="1:5" x14ac:dyDescent="0.2">
      <c r="A611" s="209" t="s">
        <v>304</v>
      </c>
      <c r="B611" s="218">
        <v>4500</v>
      </c>
      <c r="C611" s="218"/>
      <c r="D611" s="217"/>
      <c r="E611" s="218">
        <f t="shared" si="55"/>
        <v>4500</v>
      </c>
    </row>
    <row r="612" spans="1:5" x14ac:dyDescent="0.2">
      <c r="A612" s="209" t="s">
        <v>10</v>
      </c>
      <c r="B612" s="218">
        <v>4000</v>
      </c>
      <c r="C612" s="218"/>
      <c r="D612" s="217"/>
      <c r="E612" s="218">
        <f t="shared" si="55"/>
        <v>4000</v>
      </c>
    </row>
    <row r="613" spans="1:5" x14ac:dyDescent="0.2">
      <c r="A613" s="208" t="s">
        <v>6</v>
      </c>
      <c r="B613" s="217">
        <v>11000</v>
      </c>
      <c r="C613" s="217"/>
      <c r="D613" s="217">
        <v>1600</v>
      </c>
      <c r="E613" s="217">
        <f t="shared" si="55"/>
        <v>12600</v>
      </c>
    </row>
    <row r="614" spans="1:5" x14ac:dyDescent="0.2">
      <c r="A614" s="208"/>
      <c r="B614" s="217"/>
      <c r="C614" s="217"/>
      <c r="D614" s="217"/>
      <c r="E614" s="217">
        <f t="shared" si="55"/>
        <v>0</v>
      </c>
    </row>
    <row r="615" spans="1:5" x14ac:dyDescent="0.2">
      <c r="A615" s="210" t="s">
        <v>431</v>
      </c>
      <c r="B615" s="215">
        <f>B616</f>
        <v>28500</v>
      </c>
      <c r="C615" s="215">
        <f>C616</f>
        <v>3000</v>
      </c>
      <c r="D615" s="215">
        <f>D616</f>
        <v>13000</v>
      </c>
      <c r="E615" s="215">
        <f t="shared" si="55"/>
        <v>44500</v>
      </c>
    </row>
    <row r="616" spans="1:5" x14ac:dyDescent="0.2">
      <c r="A616" s="210" t="s">
        <v>311</v>
      </c>
      <c r="B616" s="215">
        <f>B617+B618+B619</f>
        <v>28500</v>
      </c>
      <c r="C616" s="215">
        <f>C617+C618+C619</f>
        <v>3000</v>
      </c>
      <c r="D616" s="215">
        <f>D617+D618+D619</f>
        <v>13000</v>
      </c>
      <c r="E616" s="215">
        <f t="shared" si="55"/>
        <v>44500</v>
      </c>
    </row>
    <row r="617" spans="1:5" x14ac:dyDescent="0.2">
      <c r="A617" s="209" t="s">
        <v>10</v>
      </c>
      <c r="B617" s="218">
        <v>14000</v>
      </c>
      <c r="C617" s="218"/>
      <c r="D617" s="217">
        <v>8500</v>
      </c>
      <c r="E617" s="218">
        <f t="shared" si="55"/>
        <v>22500</v>
      </c>
    </row>
    <row r="618" spans="1:5" ht="25.5" x14ac:dyDescent="0.2">
      <c r="A618" s="209" t="s">
        <v>324</v>
      </c>
      <c r="B618" s="218">
        <v>3500</v>
      </c>
      <c r="C618" s="218"/>
      <c r="D618" s="217">
        <v>1500</v>
      </c>
      <c r="E618" s="218">
        <f t="shared" si="55"/>
        <v>5000</v>
      </c>
    </row>
    <row r="619" spans="1:5" x14ac:dyDescent="0.2">
      <c r="A619" s="209" t="s">
        <v>322</v>
      </c>
      <c r="B619" s="218">
        <v>11000</v>
      </c>
      <c r="C619" s="218">
        <v>3000</v>
      </c>
      <c r="D619" s="217">
        <v>3000</v>
      </c>
      <c r="E619" s="218">
        <f t="shared" si="55"/>
        <v>17000</v>
      </c>
    </row>
    <row r="620" spans="1:5" x14ac:dyDescent="0.2">
      <c r="A620" s="209"/>
      <c r="B620" s="218"/>
      <c r="C620" s="218"/>
      <c r="D620" s="217"/>
      <c r="E620" s="218">
        <f t="shared" si="55"/>
        <v>0</v>
      </c>
    </row>
    <row r="621" spans="1:5" x14ac:dyDescent="0.2">
      <c r="A621" s="210" t="s">
        <v>631</v>
      </c>
      <c r="B621" s="215">
        <f>B622+B625</f>
        <v>47275</v>
      </c>
      <c r="C621" s="215">
        <f>C622+C625</f>
        <v>4165</v>
      </c>
      <c r="D621" s="215">
        <f>D622+D625</f>
        <v>0</v>
      </c>
      <c r="E621" s="215">
        <f t="shared" si="55"/>
        <v>51440</v>
      </c>
    </row>
    <row r="622" spans="1:5" x14ac:dyDescent="0.2">
      <c r="A622" s="224" t="s">
        <v>299</v>
      </c>
      <c r="B622" s="225">
        <f>B623+B624</f>
        <v>45700</v>
      </c>
      <c r="C622" s="225">
        <f>C623+C624</f>
        <v>0</v>
      </c>
      <c r="D622" s="215">
        <f>D623+D624</f>
        <v>4410</v>
      </c>
      <c r="E622" s="225">
        <f t="shared" si="55"/>
        <v>50110</v>
      </c>
    </row>
    <row r="623" spans="1:5" x14ac:dyDescent="0.2">
      <c r="A623" s="208" t="s">
        <v>323</v>
      </c>
      <c r="B623" s="217">
        <v>40200</v>
      </c>
      <c r="C623" s="217"/>
      <c r="D623" s="217">
        <v>4410</v>
      </c>
      <c r="E623" s="217">
        <f t="shared" si="55"/>
        <v>44610</v>
      </c>
    </row>
    <row r="624" spans="1:5" x14ac:dyDescent="0.2">
      <c r="A624" s="209" t="s">
        <v>585</v>
      </c>
      <c r="B624" s="217">
        <v>5500</v>
      </c>
      <c r="C624" s="217"/>
      <c r="D624" s="217"/>
      <c r="E624" s="217">
        <f t="shared" si="55"/>
        <v>5500</v>
      </c>
    </row>
    <row r="625" spans="1:5" x14ac:dyDescent="0.2">
      <c r="A625" s="210" t="s">
        <v>295</v>
      </c>
      <c r="B625" s="215">
        <f>B626+B627</f>
        <v>1575</v>
      </c>
      <c r="C625" s="215">
        <f>C626+C627</f>
        <v>4165</v>
      </c>
      <c r="D625" s="215">
        <f>D626+D627</f>
        <v>-4410</v>
      </c>
      <c r="E625" s="215">
        <f t="shared" si="55"/>
        <v>1330</v>
      </c>
    </row>
    <row r="626" spans="1:5" x14ac:dyDescent="0.2">
      <c r="A626" s="208" t="s">
        <v>296</v>
      </c>
      <c r="B626" s="217">
        <v>835</v>
      </c>
      <c r="C626" s="217">
        <v>4165</v>
      </c>
      <c r="D626" s="217">
        <v>-3960</v>
      </c>
      <c r="E626" s="217">
        <f t="shared" si="55"/>
        <v>1040</v>
      </c>
    </row>
    <row r="627" spans="1:5" x14ac:dyDescent="0.2">
      <c r="A627" s="208" t="s">
        <v>297</v>
      </c>
      <c r="B627" s="217">
        <v>740</v>
      </c>
      <c r="C627" s="217"/>
      <c r="D627" s="217">
        <v>-450</v>
      </c>
      <c r="E627" s="217">
        <f t="shared" si="55"/>
        <v>290</v>
      </c>
    </row>
    <row r="628" spans="1:5" x14ac:dyDescent="0.2">
      <c r="A628" s="210"/>
      <c r="B628" s="215"/>
      <c r="C628" s="215"/>
      <c r="D628" s="215"/>
      <c r="E628" s="215">
        <f t="shared" si="55"/>
        <v>0</v>
      </c>
    </row>
    <row r="629" spans="1:5" x14ac:dyDescent="0.2">
      <c r="A629" s="211" t="s">
        <v>122</v>
      </c>
      <c r="B629" s="213">
        <f>B631+B649+B662</f>
        <v>669940</v>
      </c>
      <c r="C629" s="213">
        <f>C631+C649+C662</f>
        <v>9400</v>
      </c>
      <c r="D629" s="213">
        <f>D631+D649+D662</f>
        <v>27039</v>
      </c>
      <c r="E629" s="213">
        <f t="shared" si="55"/>
        <v>706379</v>
      </c>
    </row>
    <row r="630" spans="1:5" x14ac:dyDescent="0.2">
      <c r="A630" s="219"/>
      <c r="B630" s="220"/>
      <c r="C630" s="220"/>
      <c r="D630" s="220"/>
      <c r="E630" s="220">
        <f t="shared" si="55"/>
        <v>0</v>
      </c>
    </row>
    <row r="631" spans="1:5" x14ac:dyDescent="0.2">
      <c r="A631" s="210" t="s">
        <v>123</v>
      </c>
      <c r="B631" s="215">
        <f>B632+B636+B641+B645</f>
        <v>567550</v>
      </c>
      <c r="C631" s="215">
        <f>C632+C636+C641+C645</f>
        <v>6000</v>
      </c>
      <c r="D631" s="215">
        <f>D632+D636+D641+D645</f>
        <v>23919</v>
      </c>
      <c r="E631" s="215">
        <f t="shared" si="55"/>
        <v>597469</v>
      </c>
    </row>
    <row r="632" spans="1:5" x14ac:dyDescent="0.2">
      <c r="A632" s="210" t="s">
        <v>342</v>
      </c>
      <c r="B632" s="215">
        <f>SUM(B633:B635)</f>
        <v>53850</v>
      </c>
      <c r="C632" s="215">
        <f>SUM(C633:C635)</f>
        <v>0</v>
      </c>
      <c r="D632" s="215">
        <f>SUM(D633:D635)</f>
        <v>0</v>
      </c>
      <c r="E632" s="215">
        <f t="shared" si="55"/>
        <v>53850</v>
      </c>
    </row>
    <row r="633" spans="1:5" x14ac:dyDescent="0.2">
      <c r="A633" s="208" t="s">
        <v>343</v>
      </c>
      <c r="B633" s="217">
        <v>18950</v>
      </c>
      <c r="C633" s="217"/>
      <c r="D633" s="217"/>
      <c r="E633" s="217">
        <f t="shared" si="55"/>
        <v>18950</v>
      </c>
    </row>
    <row r="634" spans="1:5" x14ac:dyDescent="0.2">
      <c r="A634" s="209" t="s">
        <v>5</v>
      </c>
      <c r="B634" s="218">
        <v>3200</v>
      </c>
      <c r="C634" s="218"/>
      <c r="D634" s="217"/>
      <c r="E634" s="218">
        <f t="shared" si="55"/>
        <v>3200</v>
      </c>
    </row>
    <row r="635" spans="1:5" x14ac:dyDescent="0.2">
      <c r="A635" s="208" t="s">
        <v>297</v>
      </c>
      <c r="B635" s="217">
        <v>31700</v>
      </c>
      <c r="C635" s="217"/>
      <c r="D635" s="217"/>
      <c r="E635" s="217">
        <f t="shared" si="55"/>
        <v>31700</v>
      </c>
    </row>
    <row r="636" spans="1:5" x14ac:dyDescent="0.2">
      <c r="A636" s="210" t="s">
        <v>295</v>
      </c>
      <c r="B636" s="215">
        <f>SUM(B637:B639)</f>
        <v>311100</v>
      </c>
      <c r="C636" s="215">
        <f>SUM(C637:C639)</f>
        <v>0</v>
      </c>
      <c r="D636" s="215">
        <f>SUM(D637:D640)</f>
        <v>-141</v>
      </c>
      <c r="E636" s="215">
        <f t="shared" si="55"/>
        <v>310959</v>
      </c>
    </row>
    <row r="637" spans="1:5" x14ac:dyDescent="0.2">
      <c r="A637" s="208" t="s">
        <v>296</v>
      </c>
      <c r="B637" s="217">
        <v>228200</v>
      </c>
      <c r="C637" s="217"/>
      <c r="D637" s="217"/>
      <c r="E637" s="217">
        <f t="shared" si="55"/>
        <v>228200</v>
      </c>
    </row>
    <row r="638" spans="1:5" x14ac:dyDescent="0.2">
      <c r="A638" s="208" t="s">
        <v>297</v>
      </c>
      <c r="B638" s="217">
        <v>82200</v>
      </c>
      <c r="C638" s="217"/>
      <c r="D638" s="217"/>
      <c r="E638" s="217">
        <f t="shared" si="55"/>
        <v>82200</v>
      </c>
    </row>
    <row r="639" spans="1:5" x14ac:dyDescent="0.2">
      <c r="A639" s="208" t="s">
        <v>312</v>
      </c>
      <c r="B639" s="217">
        <v>700</v>
      </c>
      <c r="C639" s="217"/>
      <c r="D639" s="217">
        <v>-400</v>
      </c>
      <c r="E639" s="217">
        <f t="shared" ref="E639:E702" si="56">SUM(B639:D639)</f>
        <v>300</v>
      </c>
    </row>
    <row r="640" spans="1:5" x14ac:dyDescent="0.2">
      <c r="A640" s="208" t="s">
        <v>313</v>
      </c>
      <c r="B640" s="217"/>
      <c r="C640" s="217"/>
      <c r="D640" s="217">
        <v>259</v>
      </c>
      <c r="E640" s="217">
        <f t="shared" si="56"/>
        <v>259</v>
      </c>
    </row>
    <row r="641" spans="1:5" x14ac:dyDescent="0.2">
      <c r="A641" s="224" t="s">
        <v>299</v>
      </c>
      <c r="B641" s="225">
        <f>SUM(B642:B644)</f>
        <v>82000</v>
      </c>
      <c r="C641" s="225">
        <f>SUM(C642:C644)</f>
        <v>0</v>
      </c>
      <c r="D641" s="215">
        <f>SUM(D642:D644)</f>
        <v>3200</v>
      </c>
      <c r="E641" s="225">
        <f t="shared" si="56"/>
        <v>85200</v>
      </c>
    </row>
    <row r="642" spans="1:5" ht="25.5" x14ac:dyDescent="0.2">
      <c r="A642" s="209" t="s">
        <v>301</v>
      </c>
      <c r="B642" s="218">
        <v>2200</v>
      </c>
      <c r="C642" s="218"/>
      <c r="D642" s="217"/>
      <c r="E642" s="218">
        <f t="shared" si="56"/>
        <v>2200</v>
      </c>
    </row>
    <row r="643" spans="1:5" x14ac:dyDescent="0.2">
      <c r="A643" s="208" t="s">
        <v>7</v>
      </c>
      <c r="B643" s="217">
        <v>67800</v>
      </c>
      <c r="C643" s="217"/>
      <c r="D643" s="217">
        <v>3200</v>
      </c>
      <c r="E643" s="217">
        <f t="shared" si="56"/>
        <v>71000</v>
      </c>
    </row>
    <row r="644" spans="1:5" x14ac:dyDescent="0.2">
      <c r="A644" s="209" t="s">
        <v>339</v>
      </c>
      <c r="B644" s="218">
        <v>12000</v>
      </c>
      <c r="C644" s="218"/>
      <c r="D644" s="217"/>
      <c r="E644" s="218">
        <f t="shared" si="56"/>
        <v>12000</v>
      </c>
    </row>
    <row r="645" spans="1:5" x14ac:dyDescent="0.2">
      <c r="A645" s="210" t="s">
        <v>337</v>
      </c>
      <c r="B645" s="215">
        <f>SUM(B646:B647)</f>
        <v>120600</v>
      </c>
      <c r="C645" s="215">
        <f>SUM(C646:C647)</f>
        <v>6000</v>
      </c>
      <c r="D645" s="215">
        <f>SUM(D646:D647)</f>
        <v>20860</v>
      </c>
      <c r="E645" s="215">
        <f t="shared" si="56"/>
        <v>147460</v>
      </c>
    </row>
    <row r="646" spans="1:5" x14ac:dyDescent="0.2">
      <c r="A646" s="209" t="s">
        <v>365</v>
      </c>
      <c r="B646" s="218">
        <v>63000</v>
      </c>
      <c r="C646" s="218">
        <v>6000</v>
      </c>
      <c r="D646" s="217">
        <v>12000</v>
      </c>
      <c r="E646" s="218">
        <f t="shared" si="56"/>
        <v>81000</v>
      </c>
    </row>
    <row r="647" spans="1:5" x14ac:dyDescent="0.2">
      <c r="A647" s="209" t="s">
        <v>338</v>
      </c>
      <c r="B647" s="218">
        <v>57600</v>
      </c>
      <c r="C647" s="218"/>
      <c r="D647" s="217">
        <v>8860</v>
      </c>
      <c r="E647" s="218">
        <f t="shared" si="56"/>
        <v>66460</v>
      </c>
    </row>
    <row r="648" spans="1:5" x14ac:dyDescent="0.2">
      <c r="A648" s="209"/>
      <c r="B648" s="218"/>
      <c r="C648" s="218"/>
      <c r="D648" s="217"/>
      <c r="E648" s="218">
        <f t="shared" si="56"/>
        <v>0</v>
      </c>
    </row>
    <row r="649" spans="1:5" x14ac:dyDescent="0.2">
      <c r="A649" s="210" t="s">
        <v>124</v>
      </c>
      <c r="B649" s="215">
        <f>B650+B657</f>
        <v>41390</v>
      </c>
      <c r="C649" s="215">
        <f>C650+C657+C655</f>
        <v>3400</v>
      </c>
      <c r="D649" s="215">
        <f>D650+D657+D655</f>
        <v>2800</v>
      </c>
      <c r="E649" s="215">
        <f t="shared" si="56"/>
        <v>47590</v>
      </c>
    </row>
    <row r="650" spans="1:5" x14ac:dyDescent="0.2">
      <c r="A650" s="210" t="s">
        <v>310</v>
      </c>
      <c r="B650" s="215">
        <f>SUM(B651:B654)</f>
        <v>35700</v>
      </c>
      <c r="C650" s="215">
        <f>SUM(C651:C654)</f>
        <v>2700</v>
      </c>
      <c r="D650" s="215">
        <f>SUM(D651:D654)</f>
        <v>2600</v>
      </c>
      <c r="E650" s="215">
        <f t="shared" si="56"/>
        <v>41000</v>
      </c>
    </row>
    <row r="651" spans="1:5" x14ac:dyDescent="0.2">
      <c r="A651" s="208" t="s">
        <v>323</v>
      </c>
      <c r="B651" s="217">
        <v>11000</v>
      </c>
      <c r="C651" s="217">
        <v>2000</v>
      </c>
      <c r="D651" s="217">
        <v>2000</v>
      </c>
      <c r="E651" s="217">
        <f t="shared" si="56"/>
        <v>15000</v>
      </c>
    </row>
    <row r="652" spans="1:5" ht="25.5" x14ac:dyDescent="0.2">
      <c r="A652" s="209" t="s">
        <v>332</v>
      </c>
      <c r="B652" s="218">
        <v>23700</v>
      </c>
      <c r="C652" s="218"/>
      <c r="D652" s="217"/>
      <c r="E652" s="218">
        <f t="shared" si="56"/>
        <v>23700</v>
      </c>
    </row>
    <row r="653" spans="1:5" ht="25.5" x14ac:dyDescent="0.2">
      <c r="A653" s="209" t="s">
        <v>320</v>
      </c>
      <c r="B653" s="218">
        <v>500</v>
      </c>
      <c r="C653" s="218"/>
      <c r="D653" s="217"/>
      <c r="E653" s="218">
        <f t="shared" si="56"/>
        <v>500</v>
      </c>
    </row>
    <row r="654" spans="1:5" x14ac:dyDescent="0.2">
      <c r="A654" s="208" t="s">
        <v>321</v>
      </c>
      <c r="B654" s="217">
        <v>500</v>
      </c>
      <c r="C654" s="217">
        <v>700</v>
      </c>
      <c r="D654" s="217">
        <v>600</v>
      </c>
      <c r="E654" s="217">
        <f t="shared" si="56"/>
        <v>1800</v>
      </c>
    </row>
    <row r="655" spans="1:5" x14ac:dyDescent="0.2">
      <c r="A655" s="293" t="s">
        <v>299</v>
      </c>
      <c r="B655" s="217"/>
      <c r="C655" s="294">
        <f>C656</f>
        <v>700</v>
      </c>
      <c r="D655" s="217">
        <f>D656</f>
        <v>200</v>
      </c>
      <c r="E655" s="217">
        <f t="shared" si="56"/>
        <v>900</v>
      </c>
    </row>
    <row r="656" spans="1:5" x14ac:dyDescent="0.2">
      <c r="A656" s="291" t="s">
        <v>330</v>
      </c>
      <c r="B656" s="217"/>
      <c r="C656" s="292">
        <v>700</v>
      </c>
      <c r="D656" s="217">
        <v>200</v>
      </c>
      <c r="E656" s="217">
        <f t="shared" si="56"/>
        <v>900</v>
      </c>
    </row>
    <row r="657" spans="1:5" x14ac:dyDescent="0.2">
      <c r="A657" s="210" t="s">
        <v>311</v>
      </c>
      <c r="B657" s="215">
        <f>SUM(B658:B660)</f>
        <v>5690</v>
      </c>
      <c r="C657" s="215">
        <f>SUM(C658:C660)</f>
        <v>0</v>
      </c>
      <c r="D657" s="215">
        <f>SUM(D658:D660)</f>
        <v>0</v>
      </c>
      <c r="E657" s="215">
        <f t="shared" si="56"/>
        <v>5690</v>
      </c>
    </row>
    <row r="658" spans="1:5" x14ac:dyDescent="0.2">
      <c r="A658" s="208" t="s">
        <v>322</v>
      </c>
      <c r="B658" s="217">
        <v>3600</v>
      </c>
      <c r="C658" s="217"/>
      <c r="D658" s="217"/>
      <c r="E658" s="217">
        <f t="shared" si="56"/>
        <v>3600</v>
      </c>
    </row>
    <row r="659" spans="1:5" x14ac:dyDescent="0.2">
      <c r="A659" s="208" t="s">
        <v>39</v>
      </c>
      <c r="B659" s="217">
        <v>90</v>
      </c>
      <c r="C659" s="217"/>
      <c r="D659" s="217"/>
      <c r="E659" s="217">
        <f t="shared" si="56"/>
        <v>90</v>
      </c>
    </row>
    <row r="660" spans="1:5" x14ac:dyDescent="0.2">
      <c r="A660" s="208" t="s">
        <v>324</v>
      </c>
      <c r="B660" s="217">
        <v>2000</v>
      </c>
      <c r="C660" s="217"/>
      <c r="D660" s="217"/>
      <c r="E660" s="217">
        <f t="shared" si="56"/>
        <v>2000</v>
      </c>
    </row>
    <row r="661" spans="1:5" x14ac:dyDescent="0.2">
      <c r="A661" s="208"/>
      <c r="B661" s="217"/>
      <c r="C661" s="217"/>
      <c r="D661" s="217"/>
      <c r="E661" s="217">
        <f t="shared" si="56"/>
        <v>0</v>
      </c>
    </row>
    <row r="662" spans="1:5" x14ac:dyDescent="0.2">
      <c r="A662" s="210" t="s">
        <v>647</v>
      </c>
      <c r="B662" s="215">
        <f>B663</f>
        <v>61000</v>
      </c>
      <c r="C662" s="215">
        <f>C663</f>
        <v>0</v>
      </c>
      <c r="D662" s="215">
        <f>D663</f>
        <v>320</v>
      </c>
      <c r="E662" s="215">
        <f t="shared" si="56"/>
        <v>61320</v>
      </c>
    </row>
    <row r="663" spans="1:5" x14ac:dyDescent="0.2">
      <c r="A663" s="210" t="s">
        <v>348</v>
      </c>
      <c r="B663" s="215">
        <f>SUM(B664:B669)</f>
        <v>61000</v>
      </c>
      <c r="C663" s="215">
        <f>SUM(C664:C669)</f>
        <v>0</v>
      </c>
      <c r="D663" s="215">
        <f>SUM(D664:D669)</f>
        <v>320</v>
      </c>
      <c r="E663" s="215">
        <f t="shared" si="56"/>
        <v>61320</v>
      </c>
    </row>
    <row r="664" spans="1:5" x14ac:dyDescent="0.2">
      <c r="A664" s="209" t="s">
        <v>350</v>
      </c>
      <c r="B664" s="218">
        <v>41700</v>
      </c>
      <c r="C664" s="218"/>
      <c r="D664" s="217"/>
      <c r="E664" s="218">
        <f t="shared" si="56"/>
        <v>41700</v>
      </c>
    </row>
    <row r="665" spans="1:5" x14ac:dyDescent="0.2">
      <c r="A665" s="209" t="s">
        <v>655</v>
      </c>
      <c r="B665" s="218">
        <v>500</v>
      </c>
      <c r="C665" s="218"/>
      <c r="D665" s="217">
        <v>320</v>
      </c>
      <c r="E665" s="218">
        <f t="shared" si="56"/>
        <v>820</v>
      </c>
    </row>
    <row r="666" spans="1:5" x14ac:dyDescent="0.2">
      <c r="A666" s="209" t="s">
        <v>304</v>
      </c>
      <c r="B666" s="218">
        <v>6200</v>
      </c>
      <c r="C666" s="218"/>
      <c r="D666" s="217"/>
      <c r="E666" s="218">
        <f t="shared" si="56"/>
        <v>6200</v>
      </c>
    </row>
    <row r="667" spans="1:5" x14ac:dyDescent="0.2">
      <c r="A667" s="209" t="s">
        <v>10</v>
      </c>
      <c r="B667" s="218">
        <v>3600</v>
      </c>
      <c r="C667" s="218"/>
      <c r="D667" s="217"/>
      <c r="E667" s="218">
        <f t="shared" si="56"/>
        <v>3600</v>
      </c>
    </row>
    <row r="668" spans="1:5" x14ac:dyDescent="0.2">
      <c r="A668" s="208" t="s">
        <v>6</v>
      </c>
      <c r="B668" s="217">
        <v>7000</v>
      </c>
      <c r="C668" s="217"/>
      <c r="D668" s="217"/>
      <c r="E668" s="217">
        <f t="shared" si="56"/>
        <v>7000</v>
      </c>
    </row>
    <row r="669" spans="1:5" x14ac:dyDescent="0.2">
      <c r="A669" s="208" t="s">
        <v>125</v>
      </c>
      <c r="B669" s="217">
        <v>2000</v>
      </c>
      <c r="C669" s="217"/>
      <c r="D669" s="217"/>
      <c r="E669" s="217">
        <f t="shared" si="56"/>
        <v>2000</v>
      </c>
    </row>
    <row r="670" spans="1:5" x14ac:dyDescent="0.2">
      <c r="A670" s="208"/>
      <c r="B670" s="217"/>
      <c r="C670" s="217"/>
      <c r="D670" s="217"/>
      <c r="E670" s="217">
        <f t="shared" si="56"/>
        <v>0</v>
      </c>
    </row>
    <row r="671" spans="1:5" x14ac:dyDescent="0.2">
      <c r="A671" s="211" t="s">
        <v>126</v>
      </c>
      <c r="B671" s="213">
        <f>B673+B695+B705+B717</f>
        <v>549426</v>
      </c>
      <c r="C671" s="213">
        <f>C673+C695+C705+C717</f>
        <v>19000</v>
      </c>
      <c r="D671" s="213">
        <f>D673+D695+D705+D717</f>
        <v>23550</v>
      </c>
      <c r="E671" s="213">
        <f t="shared" si="56"/>
        <v>591976</v>
      </c>
    </row>
    <row r="672" spans="1:5" x14ac:dyDescent="0.2">
      <c r="A672" s="219"/>
      <c r="B672" s="220"/>
      <c r="C672" s="220"/>
      <c r="D672" s="220"/>
      <c r="E672" s="220">
        <f t="shared" si="56"/>
        <v>0</v>
      </c>
    </row>
    <row r="673" spans="1:5" x14ac:dyDescent="0.2">
      <c r="A673" s="210" t="s">
        <v>127</v>
      </c>
      <c r="B673" s="215">
        <f>B679+B682+B686+B688+B674+B677</f>
        <v>277949</v>
      </c>
      <c r="C673" s="215">
        <f>C679+C682+C686+C688+C674+C677</f>
        <v>9000</v>
      </c>
      <c r="D673" s="215">
        <f>D679+D682+D686+D688+D674+D677</f>
        <v>21550</v>
      </c>
      <c r="E673" s="215">
        <f t="shared" si="56"/>
        <v>308499</v>
      </c>
    </row>
    <row r="674" spans="1:5" x14ac:dyDescent="0.2">
      <c r="A674" s="210" t="s">
        <v>310</v>
      </c>
      <c r="B674" s="215">
        <f>SUM(B675:B676)</f>
        <v>1755</v>
      </c>
      <c r="C674" s="215">
        <f>SUM(C675:C676)</f>
        <v>0</v>
      </c>
      <c r="D674" s="215">
        <f>SUM(D675:D676)</f>
        <v>350</v>
      </c>
      <c r="E674" s="215">
        <f t="shared" si="56"/>
        <v>2105</v>
      </c>
    </row>
    <row r="675" spans="1:5" x14ac:dyDescent="0.2">
      <c r="A675" s="208" t="s">
        <v>128</v>
      </c>
      <c r="B675" s="217">
        <v>400</v>
      </c>
      <c r="C675" s="217"/>
      <c r="D675" s="217">
        <v>350</v>
      </c>
      <c r="E675" s="217">
        <f t="shared" si="56"/>
        <v>750</v>
      </c>
    </row>
    <row r="676" spans="1:5" x14ac:dyDescent="0.2">
      <c r="A676" s="209" t="s">
        <v>129</v>
      </c>
      <c r="B676" s="218">
        <v>1355</v>
      </c>
      <c r="C676" s="218"/>
      <c r="D676" s="217"/>
      <c r="E676" s="218">
        <f t="shared" si="56"/>
        <v>1355</v>
      </c>
    </row>
    <row r="677" spans="1:5" x14ac:dyDescent="0.2">
      <c r="A677" s="210" t="s">
        <v>311</v>
      </c>
      <c r="B677" s="215">
        <f>B678</f>
        <v>12000</v>
      </c>
      <c r="C677" s="215">
        <f>C678</f>
        <v>4000</v>
      </c>
      <c r="D677" s="215">
        <f>D678</f>
        <v>3000</v>
      </c>
      <c r="E677" s="215">
        <f t="shared" si="56"/>
        <v>19000</v>
      </c>
    </row>
    <row r="678" spans="1:5" x14ac:dyDescent="0.2">
      <c r="A678" s="209" t="s">
        <v>304</v>
      </c>
      <c r="B678" s="218">
        <v>12000</v>
      </c>
      <c r="C678" s="218">
        <v>4000</v>
      </c>
      <c r="D678" s="217">
        <v>3000</v>
      </c>
      <c r="E678" s="218">
        <f t="shared" si="56"/>
        <v>19000</v>
      </c>
    </row>
    <row r="679" spans="1:5" x14ac:dyDescent="0.2">
      <c r="A679" s="210" t="s">
        <v>342</v>
      </c>
      <c r="B679" s="215">
        <v>3000</v>
      </c>
      <c r="C679" s="215">
        <f>C680+C681</f>
        <v>0</v>
      </c>
      <c r="D679" s="215">
        <f>D680+D681</f>
        <v>-1000</v>
      </c>
      <c r="E679" s="215">
        <f t="shared" si="56"/>
        <v>2000</v>
      </c>
    </row>
    <row r="680" spans="1:5" x14ac:dyDescent="0.2">
      <c r="A680" s="208" t="s">
        <v>343</v>
      </c>
      <c r="B680" s="217">
        <v>1000</v>
      </c>
      <c r="C680" s="217"/>
      <c r="D680" s="217"/>
      <c r="E680" s="217">
        <f t="shared" si="56"/>
        <v>1000</v>
      </c>
    </row>
    <row r="681" spans="1:5" x14ac:dyDescent="0.2">
      <c r="A681" s="208" t="s">
        <v>297</v>
      </c>
      <c r="B681" s="217">
        <v>2000</v>
      </c>
      <c r="C681" s="217"/>
      <c r="D681" s="217">
        <v>-1000</v>
      </c>
      <c r="E681" s="217">
        <f t="shared" si="56"/>
        <v>1000</v>
      </c>
    </row>
    <row r="682" spans="1:5" x14ac:dyDescent="0.2">
      <c r="A682" s="210" t="s">
        <v>295</v>
      </c>
      <c r="B682" s="215">
        <f>SUM(B683:B685)</f>
        <v>112358</v>
      </c>
      <c r="C682" s="215">
        <f>SUM(C683:C685)</f>
        <v>0</v>
      </c>
      <c r="D682" s="215">
        <f>SUM(D683:D685)</f>
        <v>4500</v>
      </c>
      <c r="E682" s="215">
        <f t="shared" si="56"/>
        <v>116858</v>
      </c>
    </row>
    <row r="683" spans="1:5" x14ac:dyDescent="0.2">
      <c r="A683" s="208" t="s">
        <v>296</v>
      </c>
      <c r="B683" s="217">
        <v>79558</v>
      </c>
      <c r="C683" s="217"/>
      <c r="D683" s="217">
        <v>4500</v>
      </c>
      <c r="E683" s="217">
        <f t="shared" si="56"/>
        <v>84058</v>
      </c>
    </row>
    <row r="684" spans="1:5" x14ac:dyDescent="0.2">
      <c r="A684" s="208" t="s">
        <v>297</v>
      </c>
      <c r="B684" s="217">
        <v>26500</v>
      </c>
      <c r="C684" s="217"/>
      <c r="D684" s="217"/>
      <c r="E684" s="217">
        <f t="shared" si="56"/>
        <v>26500</v>
      </c>
    </row>
    <row r="685" spans="1:5" x14ac:dyDescent="0.2">
      <c r="A685" s="208" t="s">
        <v>312</v>
      </c>
      <c r="B685" s="217">
        <v>6300</v>
      </c>
      <c r="C685" s="217"/>
      <c r="D685" s="217"/>
      <c r="E685" s="217">
        <f t="shared" si="56"/>
        <v>6300</v>
      </c>
    </row>
    <row r="686" spans="1:5" x14ac:dyDescent="0.2">
      <c r="A686" s="210" t="s">
        <v>337</v>
      </c>
      <c r="B686" s="215">
        <f>B687</f>
        <v>55426</v>
      </c>
      <c r="C686" s="215">
        <f>C687</f>
        <v>0</v>
      </c>
      <c r="D686" s="215">
        <f>D687</f>
        <v>3200</v>
      </c>
      <c r="E686" s="215">
        <f t="shared" si="56"/>
        <v>58626</v>
      </c>
    </row>
    <row r="687" spans="1:5" x14ac:dyDescent="0.2">
      <c r="A687" s="209" t="s">
        <v>365</v>
      </c>
      <c r="B687" s="218">
        <v>55426</v>
      </c>
      <c r="C687" s="218"/>
      <c r="D687" s="217">
        <v>3200</v>
      </c>
      <c r="E687" s="218">
        <f t="shared" si="56"/>
        <v>58626</v>
      </c>
    </row>
    <row r="688" spans="1:5" x14ac:dyDescent="0.2">
      <c r="A688" s="210" t="s">
        <v>299</v>
      </c>
      <c r="B688" s="215">
        <f>SUM(B689:B693)</f>
        <v>93410</v>
      </c>
      <c r="C688" s="215">
        <f>SUM(C689:C693)</f>
        <v>5000</v>
      </c>
      <c r="D688" s="215">
        <f>SUM(D689:D693)</f>
        <v>11500</v>
      </c>
      <c r="E688" s="215">
        <f t="shared" si="56"/>
        <v>109910</v>
      </c>
    </row>
    <row r="689" spans="1:5" x14ac:dyDescent="0.2">
      <c r="A689" s="208" t="s">
        <v>7</v>
      </c>
      <c r="B689" s="217">
        <v>20000</v>
      </c>
      <c r="C689" s="217"/>
      <c r="D689" s="217">
        <v>4900</v>
      </c>
      <c r="E689" s="217">
        <f t="shared" si="56"/>
        <v>24900</v>
      </c>
    </row>
    <row r="690" spans="1:5" x14ac:dyDescent="0.2">
      <c r="A690" s="209" t="s">
        <v>339</v>
      </c>
      <c r="B690" s="218">
        <v>35000</v>
      </c>
      <c r="C690" s="218"/>
      <c r="D690" s="217"/>
      <c r="E690" s="218">
        <f t="shared" si="56"/>
        <v>35000</v>
      </c>
    </row>
    <row r="691" spans="1:5" x14ac:dyDescent="0.2">
      <c r="A691" s="208" t="s">
        <v>432</v>
      </c>
      <c r="B691" s="217">
        <v>36200</v>
      </c>
      <c r="C691" s="217">
        <v>5000</v>
      </c>
      <c r="D691" s="217">
        <v>5600</v>
      </c>
      <c r="E691" s="217">
        <f t="shared" si="56"/>
        <v>46800</v>
      </c>
    </row>
    <row r="692" spans="1:5" ht="25.5" x14ac:dyDescent="0.2">
      <c r="A692" s="209" t="s">
        <v>301</v>
      </c>
      <c r="B692" s="218">
        <v>10</v>
      </c>
      <c r="C692" s="218"/>
      <c r="D692" s="217"/>
      <c r="E692" s="218">
        <f t="shared" si="56"/>
        <v>10</v>
      </c>
    </row>
    <row r="693" spans="1:5" x14ac:dyDescent="0.2">
      <c r="A693" s="209" t="s">
        <v>585</v>
      </c>
      <c r="B693" s="218">
        <v>2200</v>
      </c>
      <c r="C693" s="218"/>
      <c r="D693" s="217">
        <v>1000</v>
      </c>
      <c r="E693" s="218">
        <f t="shared" si="56"/>
        <v>3200</v>
      </c>
    </row>
    <row r="694" spans="1:5" x14ac:dyDescent="0.2">
      <c r="A694" s="209"/>
      <c r="B694" s="218"/>
      <c r="C694" s="218"/>
      <c r="D694" s="217"/>
      <c r="E694" s="218">
        <f t="shared" si="56"/>
        <v>0</v>
      </c>
    </row>
    <row r="695" spans="1:5" x14ac:dyDescent="0.2">
      <c r="A695" s="235" t="s">
        <v>130</v>
      </c>
      <c r="B695" s="215">
        <f>B696+B701</f>
        <v>63800</v>
      </c>
      <c r="C695" s="215">
        <f>C696+C701</f>
        <v>10000</v>
      </c>
      <c r="D695" s="215">
        <f>D696+D701</f>
        <v>2000</v>
      </c>
      <c r="E695" s="215">
        <f t="shared" si="56"/>
        <v>75800</v>
      </c>
    </row>
    <row r="696" spans="1:5" x14ac:dyDescent="0.2">
      <c r="A696" s="210" t="s">
        <v>310</v>
      </c>
      <c r="B696" s="215">
        <f>SUM(B697:B700)</f>
        <v>53400</v>
      </c>
      <c r="C696" s="215">
        <f>SUM(C697:C700)</f>
        <v>10000</v>
      </c>
      <c r="D696" s="215">
        <f>SUM(D697:D700)</f>
        <v>1000</v>
      </c>
      <c r="E696" s="215">
        <f t="shared" si="56"/>
        <v>64400</v>
      </c>
    </row>
    <row r="697" spans="1:5" x14ac:dyDescent="0.2">
      <c r="A697" s="209" t="s">
        <v>335</v>
      </c>
      <c r="B697" s="218">
        <v>16100</v>
      </c>
      <c r="C697" s="218"/>
      <c r="D697" s="217"/>
      <c r="E697" s="218">
        <f t="shared" si="56"/>
        <v>16100</v>
      </c>
    </row>
    <row r="698" spans="1:5" x14ac:dyDescent="0.2">
      <c r="A698" s="209" t="s">
        <v>323</v>
      </c>
      <c r="B698" s="218">
        <v>8000</v>
      </c>
      <c r="C698" s="218">
        <v>6000</v>
      </c>
      <c r="D698" s="217"/>
      <c r="E698" s="218">
        <f t="shared" si="56"/>
        <v>14000</v>
      </c>
    </row>
    <row r="699" spans="1:5" ht="25.5" x14ac:dyDescent="0.2">
      <c r="A699" s="209" t="s">
        <v>332</v>
      </c>
      <c r="B699" s="218">
        <v>28200</v>
      </c>
      <c r="C699" s="218">
        <v>3000</v>
      </c>
      <c r="D699" s="217"/>
      <c r="E699" s="218">
        <f t="shared" si="56"/>
        <v>31200</v>
      </c>
    </row>
    <row r="700" spans="1:5" ht="25.5" x14ac:dyDescent="0.2">
      <c r="A700" s="209" t="s">
        <v>320</v>
      </c>
      <c r="B700" s="218">
        <v>1100</v>
      </c>
      <c r="C700" s="218">
        <v>1000</v>
      </c>
      <c r="D700" s="217">
        <v>1000</v>
      </c>
      <c r="E700" s="218">
        <f t="shared" si="56"/>
        <v>3100</v>
      </c>
    </row>
    <row r="701" spans="1:5" x14ac:dyDescent="0.2">
      <c r="A701" s="210" t="s">
        <v>295</v>
      </c>
      <c r="B701" s="215">
        <f>SUM(B702:B703)</f>
        <v>10400</v>
      </c>
      <c r="C701" s="215">
        <f>SUM(C702:C703)</f>
        <v>0</v>
      </c>
      <c r="D701" s="215">
        <f>SUM(D702:D703)</f>
        <v>1000</v>
      </c>
      <c r="E701" s="215">
        <f t="shared" si="56"/>
        <v>11400</v>
      </c>
    </row>
    <row r="702" spans="1:5" x14ac:dyDescent="0.2">
      <c r="A702" s="208" t="s">
        <v>296</v>
      </c>
      <c r="B702" s="217">
        <v>6400</v>
      </c>
      <c r="C702" s="217"/>
      <c r="D702" s="217"/>
      <c r="E702" s="217">
        <f t="shared" si="56"/>
        <v>6400</v>
      </c>
    </row>
    <row r="703" spans="1:5" x14ac:dyDescent="0.2">
      <c r="A703" s="208" t="s">
        <v>297</v>
      </c>
      <c r="B703" s="217">
        <v>4000</v>
      </c>
      <c r="C703" s="217"/>
      <c r="D703" s="217">
        <v>1000</v>
      </c>
      <c r="E703" s="217">
        <f t="shared" ref="E703:E766" si="57">SUM(B703:D703)</f>
        <v>5000</v>
      </c>
    </row>
    <row r="704" spans="1:5" x14ac:dyDescent="0.2">
      <c r="A704" s="210"/>
      <c r="B704" s="215"/>
      <c r="C704" s="215"/>
      <c r="D704" s="215"/>
      <c r="E704" s="215">
        <f t="shared" si="57"/>
        <v>0</v>
      </c>
    </row>
    <row r="705" spans="1:5" x14ac:dyDescent="0.2">
      <c r="A705" s="210" t="s">
        <v>586</v>
      </c>
      <c r="B705" s="215">
        <f>B706+B710</f>
        <v>15700</v>
      </c>
      <c r="C705" s="215">
        <f>C706+C710</f>
        <v>0</v>
      </c>
      <c r="D705" s="215">
        <f>D706+D710</f>
        <v>0</v>
      </c>
      <c r="E705" s="215">
        <f t="shared" si="57"/>
        <v>15700</v>
      </c>
    </row>
    <row r="706" spans="1:5" x14ac:dyDescent="0.2">
      <c r="A706" s="210" t="s">
        <v>348</v>
      </c>
      <c r="B706" s="215">
        <f>SUM(B707:B709)</f>
        <v>5700</v>
      </c>
      <c r="C706" s="215">
        <f>SUM(C707:C709)</f>
        <v>0</v>
      </c>
      <c r="D706" s="215">
        <f>SUM(D707:D709)</f>
        <v>0</v>
      </c>
      <c r="E706" s="215">
        <f t="shared" si="57"/>
        <v>5700</v>
      </c>
    </row>
    <row r="707" spans="1:5" x14ac:dyDescent="0.2">
      <c r="A707" s="209" t="s">
        <v>304</v>
      </c>
      <c r="B707" s="218">
        <v>1200</v>
      </c>
      <c r="C707" s="218"/>
      <c r="D707" s="217"/>
      <c r="E707" s="218">
        <f t="shared" si="57"/>
        <v>1200</v>
      </c>
    </row>
    <row r="708" spans="1:5" x14ac:dyDescent="0.2">
      <c r="A708" s="209" t="s">
        <v>335</v>
      </c>
      <c r="B708" s="218">
        <v>4000</v>
      </c>
      <c r="C708" s="218"/>
      <c r="D708" s="217"/>
      <c r="E708" s="218">
        <f t="shared" si="57"/>
        <v>4000</v>
      </c>
    </row>
    <row r="709" spans="1:5" x14ac:dyDescent="0.2">
      <c r="A709" s="208" t="s">
        <v>125</v>
      </c>
      <c r="B709" s="217">
        <v>500</v>
      </c>
      <c r="C709" s="217"/>
      <c r="D709" s="217"/>
      <c r="E709" s="217">
        <f t="shared" si="57"/>
        <v>500</v>
      </c>
    </row>
    <row r="710" spans="1:5" x14ac:dyDescent="0.2">
      <c r="A710" s="210" t="s">
        <v>311</v>
      </c>
      <c r="B710" s="215">
        <f>SUM(B711:B715)</f>
        <v>10000</v>
      </c>
      <c r="C710" s="215">
        <f>SUM(C711:C715)</f>
        <v>0</v>
      </c>
      <c r="D710" s="215">
        <f>SUM(D711:D715)</f>
        <v>0</v>
      </c>
      <c r="E710" s="215">
        <f t="shared" si="57"/>
        <v>10000</v>
      </c>
    </row>
    <row r="711" spans="1:5" x14ac:dyDescent="0.2">
      <c r="A711" s="209" t="s">
        <v>10</v>
      </c>
      <c r="B711" s="218">
        <v>420</v>
      </c>
      <c r="C711" s="218"/>
      <c r="D711" s="217"/>
      <c r="E711" s="218">
        <f t="shared" si="57"/>
        <v>420</v>
      </c>
    </row>
    <row r="712" spans="1:5" x14ac:dyDescent="0.2">
      <c r="A712" s="209" t="s">
        <v>587</v>
      </c>
      <c r="B712" s="218">
        <v>50</v>
      </c>
      <c r="C712" s="218"/>
      <c r="D712" s="217"/>
      <c r="E712" s="218">
        <f t="shared" si="57"/>
        <v>50</v>
      </c>
    </row>
    <row r="713" spans="1:5" ht="25.5" x14ac:dyDescent="0.2">
      <c r="A713" s="209" t="s">
        <v>324</v>
      </c>
      <c r="B713" s="218">
        <v>5350</v>
      </c>
      <c r="C713" s="218"/>
      <c r="D713" s="217"/>
      <c r="E713" s="218">
        <f t="shared" si="57"/>
        <v>5350</v>
      </c>
    </row>
    <row r="714" spans="1:5" x14ac:dyDescent="0.2">
      <c r="A714" s="209" t="s">
        <v>39</v>
      </c>
      <c r="B714" s="218">
        <v>310</v>
      </c>
      <c r="C714" s="218"/>
      <c r="D714" s="217"/>
      <c r="E714" s="218">
        <f t="shared" si="57"/>
        <v>310</v>
      </c>
    </row>
    <row r="715" spans="1:5" x14ac:dyDescent="0.2">
      <c r="A715" s="209" t="s">
        <v>322</v>
      </c>
      <c r="B715" s="217">
        <v>3870</v>
      </c>
      <c r="C715" s="217"/>
      <c r="D715" s="217"/>
      <c r="E715" s="217">
        <f t="shared" si="57"/>
        <v>3870</v>
      </c>
    </row>
    <row r="716" spans="1:5" x14ac:dyDescent="0.2">
      <c r="A716" s="210"/>
      <c r="B716" s="231"/>
      <c r="C716" s="231"/>
      <c r="D716" s="231"/>
      <c r="E716" s="231">
        <f t="shared" si="57"/>
        <v>0</v>
      </c>
    </row>
    <row r="717" spans="1:5" x14ac:dyDescent="0.2">
      <c r="A717" s="210" t="s">
        <v>387</v>
      </c>
      <c r="B717" s="215">
        <f>B718+B722+B725</f>
        <v>191977</v>
      </c>
      <c r="C717" s="215">
        <f>C718+C722+C725</f>
        <v>0</v>
      </c>
      <c r="D717" s="215">
        <f>D718+D722+D725</f>
        <v>0</v>
      </c>
      <c r="E717" s="215">
        <f t="shared" si="57"/>
        <v>191977</v>
      </c>
    </row>
    <row r="718" spans="1:5" x14ac:dyDescent="0.2">
      <c r="A718" s="210" t="s">
        <v>348</v>
      </c>
      <c r="B718" s="215">
        <f>SUM(B719:B721)</f>
        <v>151254</v>
      </c>
      <c r="C718" s="215">
        <f>SUM(C719:C721)</f>
        <v>0</v>
      </c>
      <c r="D718" s="215">
        <f>SUM(D719:D721)</f>
        <v>0</v>
      </c>
      <c r="E718" s="215">
        <f t="shared" si="57"/>
        <v>151254</v>
      </c>
    </row>
    <row r="719" spans="1:5" x14ac:dyDescent="0.2">
      <c r="A719" s="209" t="s">
        <v>131</v>
      </c>
      <c r="B719" s="218">
        <v>2700</v>
      </c>
      <c r="C719" s="218"/>
      <c r="D719" s="217"/>
      <c r="E719" s="218">
        <f t="shared" si="57"/>
        <v>2700</v>
      </c>
    </row>
    <row r="720" spans="1:5" x14ac:dyDescent="0.2">
      <c r="A720" s="209" t="s">
        <v>349</v>
      </c>
      <c r="B720" s="218">
        <v>141454</v>
      </c>
      <c r="C720" s="218"/>
      <c r="D720" s="217"/>
      <c r="E720" s="218">
        <f t="shared" si="57"/>
        <v>141454</v>
      </c>
    </row>
    <row r="721" spans="1:5" x14ac:dyDescent="0.2">
      <c r="A721" s="209" t="s">
        <v>304</v>
      </c>
      <c r="B721" s="218">
        <v>7100</v>
      </c>
      <c r="C721" s="218"/>
      <c r="D721" s="217"/>
      <c r="E721" s="218">
        <f t="shared" si="57"/>
        <v>7100</v>
      </c>
    </row>
    <row r="722" spans="1:5" x14ac:dyDescent="0.2">
      <c r="A722" s="210" t="s">
        <v>342</v>
      </c>
      <c r="B722" s="215">
        <f>SUM(B723:B724)</f>
        <v>31000</v>
      </c>
      <c r="C722" s="215">
        <f>SUM(C723:C724)</f>
        <v>0</v>
      </c>
      <c r="D722" s="215">
        <f>SUM(D723:D724)</f>
        <v>0</v>
      </c>
      <c r="E722" s="215">
        <f t="shared" si="57"/>
        <v>31000</v>
      </c>
    </row>
    <row r="723" spans="1:5" x14ac:dyDescent="0.2">
      <c r="A723" s="209" t="s">
        <v>343</v>
      </c>
      <c r="B723" s="218">
        <v>8000</v>
      </c>
      <c r="C723" s="218"/>
      <c r="D723" s="217"/>
      <c r="E723" s="218">
        <f t="shared" si="57"/>
        <v>8000</v>
      </c>
    </row>
    <row r="724" spans="1:5" x14ac:dyDescent="0.2">
      <c r="A724" s="208" t="s">
        <v>297</v>
      </c>
      <c r="B724" s="217">
        <v>23000</v>
      </c>
      <c r="C724" s="217"/>
      <c r="D724" s="217"/>
      <c r="E724" s="217">
        <f t="shared" si="57"/>
        <v>23000</v>
      </c>
    </row>
    <row r="725" spans="1:5" x14ac:dyDescent="0.2">
      <c r="A725" s="210" t="s">
        <v>295</v>
      </c>
      <c r="B725" s="215">
        <f>SUM(B726:B727)</f>
        <v>9723</v>
      </c>
      <c r="C725" s="215">
        <f>SUM(C726:C727)</f>
        <v>0</v>
      </c>
      <c r="D725" s="215">
        <f>SUM(D726:D727)</f>
        <v>0</v>
      </c>
      <c r="E725" s="215">
        <f t="shared" si="57"/>
        <v>9723</v>
      </c>
    </row>
    <row r="726" spans="1:5" x14ac:dyDescent="0.2">
      <c r="A726" s="208" t="s">
        <v>296</v>
      </c>
      <c r="B726" s="217">
        <v>1223</v>
      </c>
      <c r="C726" s="217"/>
      <c r="D726" s="217"/>
      <c r="E726" s="217">
        <f t="shared" si="57"/>
        <v>1223</v>
      </c>
    </row>
    <row r="727" spans="1:5" x14ac:dyDescent="0.2">
      <c r="A727" s="208" t="s">
        <v>297</v>
      </c>
      <c r="B727" s="217">
        <v>8500</v>
      </c>
      <c r="C727" s="217"/>
      <c r="D727" s="217"/>
      <c r="E727" s="217">
        <f t="shared" si="57"/>
        <v>8500</v>
      </c>
    </row>
    <row r="728" spans="1:5" x14ac:dyDescent="0.2">
      <c r="A728" s="209"/>
      <c r="B728" s="218"/>
      <c r="C728" s="218"/>
      <c r="D728" s="217"/>
      <c r="E728" s="218">
        <f t="shared" si="57"/>
        <v>0</v>
      </c>
    </row>
    <row r="729" spans="1:5" x14ac:dyDescent="0.2">
      <c r="A729" s="211" t="s">
        <v>132</v>
      </c>
      <c r="B729" s="213">
        <f>B731+B745</f>
        <v>465150</v>
      </c>
      <c r="C729" s="213">
        <f>C731+C745</f>
        <v>-66532</v>
      </c>
      <c r="D729" s="213">
        <f>D731+D745</f>
        <v>-77391</v>
      </c>
      <c r="E729" s="213">
        <f t="shared" si="57"/>
        <v>321227</v>
      </c>
    </row>
    <row r="730" spans="1:5" x14ac:dyDescent="0.2">
      <c r="A730" s="219"/>
      <c r="B730" s="220"/>
      <c r="C730" s="220"/>
      <c r="D730" s="220"/>
      <c r="E730" s="220">
        <f t="shared" si="57"/>
        <v>0</v>
      </c>
    </row>
    <row r="731" spans="1:5" x14ac:dyDescent="0.2">
      <c r="A731" s="210" t="s">
        <v>133</v>
      </c>
      <c r="B731" s="215">
        <f>B732+B734+B739+B741</f>
        <v>415650</v>
      </c>
      <c r="C731" s="215">
        <f>C732+C734+C739+C741</f>
        <v>-75832</v>
      </c>
      <c r="D731" s="215">
        <f>D732+D734+D739+D741</f>
        <v>-77191</v>
      </c>
      <c r="E731" s="215">
        <f t="shared" si="57"/>
        <v>262627</v>
      </c>
    </row>
    <row r="732" spans="1:5" x14ac:dyDescent="0.2">
      <c r="A732" s="210" t="s">
        <v>342</v>
      </c>
      <c r="B732" s="215">
        <f>B733</f>
        <v>1280</v>
      </c>
      <c r="C732" s="215">
        <f>C733</f>
        <v>0</v>
      </c>
      <c r="D732" s="215">
        <f>D733</f>
        <v>403</v>
      </c>
      <c r="E732" s="215">
        <f t="shared" si="57"/>
        <v>1683</v>
      </c>
    </row>
    <row r="733" spans="1:5" x14ac:dyDescent="0.2">
      <c r="A733" s="208" t="s">
        <v>343</v>
      </c>
      <c r="B733" s="217">
        <v>1280</v>
      </c>
      <c r="C733" s="217"/>
      <c r="D733" s="217">
        <v>403</v>
      </c>
      <c r="E733" s="217">
        <f t="shared" si="57"/>
        <v>1683</v>
      </c>
    </row>
    <row r="734" spans="1:5" x14ac:dyDescent="0.2">
      <c r="A734" s="210" t="s">
        <v>295</v>
      </c>
      <c r="B734" s="215">
        <f>SUM(B735:B738)</f>
        <v>291370</v>
      </c>
      <c r="C734" s="215">
        <f>SUM(C735:C738)</f>
        <v>-88017</v>
      </c>
      <c r="D734" s="215">
        <f>SUM(D735:D738)</f>
        <v>-82640</v>
      </c>
      <c r="E734" s="215">
        <f t="shared" si="57"/>
        <v>120713</v>
      </c>
    </row>
    <row r="735" spans="1:5" x14ac:dyDescent="0.2">
      <c r="A735" s="208" t="s">
        <v>296</v>
      </c>
      <c r="B735" s="217">
        <v>169075</v>
      </c>
      <c r="C735" s="217"/>
      <c r="D735" s="217">
        <v>-82640</v>
      </c>
      <c r="E735" s="217">
        <f t="shared" si="57"/>
        <v>86435</v>
      </c>
    </row>
    <row r="736" spans="1:5" x14ac:dyDescent="0.2">
      <c r="A736" s="208" t="s">
        <v>297</v>
      </c>
      <c r="B736" s="217">
        <v>120000</v>
      </c>
      <c r="C736" s="217">
        <v>-88017</v>
      </c>
      <c r="D736" s="217"/>
      <c r="E736" s="217">
        <f t="shared" si="57"/>
        <v>31983</v>
      </c>
    </row>
    <row r="737" spans="1:5" x14ac:dyDescent="0.2">
      <c r="A737" s="208" t="s">
        <v>312</v>
      </c>
      <c r="B737" s="217">
        <v>1920</v>
      </c>
      <c r="C737" s="217"/>
      <c r="D737" s="217"/>
      <c r="E737" s="217">
        <f t="shared" si="57"/>
        <v>1920</v>
      </c>
    </row>
    <row r="738" spans="1:5" x14ac:dyDescent="0.2">
      <c r="A738" s="208" t="s">
        <v>313</v>
      </c>
      <c r="B738" s="217">
        <v>375</v>
      </c>
      <c r="C738" s="217"/>
      <c r="D738" s="217"/>
      <c r="E738" s="217">
        <f t="shared" si="57"/>
        <v>375</v>
      </c>
    </row>
    <row r="739" spans="1:5" x14ac:dyDescent="0.2">
      <c r="A739" s="210" t="s">
        <v>337</v>
      </c>
      <c r="B739" s="215">
        <f>B740</f>
        <v>63795</v>
      </c>
      <c r="C739" s="215">
        <f>C740</f>
        <v>10730</v>
      </c>
      <c r="D739" s="215">
        <f>D740</f>
        <v>2410</v>
      </c>
      <c r="E739" s="215">
        <f t="shared" si="57"/>
        <v>76935</v>
      </c>
    </row>
    <row r="740" spans="1:5" x14ac:dyDescent="0.2">
      <c r="A740" s="209" t="s">
        <v>365</v>
      </c>
      <c r="B740" s="218">
        <v>63795</v>
      </c>
      <c r="C740" s="218">
        <v>10730</v>
      </c>
      <c r="D740" s="217">
        <v>2410</v>
      </c>
      <c r="E740" s="218">
        <f t="shared" si="57"/>
        <v>76935</v>
      </c>
    </row>
    <row r="741" spans="1:5" x14ac:dyDescent="0.2">
      <c r="A741" s="224" t="s">
        <v>299</v>
      </c>
      <c r="B741" s="225">
        <f>SUM(B742:B743)</f>
        <v>59205</v>
      </c>
      <c r="C741" s="225">
        <f>SUM(C742:C743)</f>
        <v>1455</v>
      </c>
      <c r="D741" s="215">
        <f>SUM(D742:D743)</f>
        <v>2636</v>
      </c>
      <c r="E741" s="225">
        <f t="shared" si="57"/>
        <v>63296</v>
      </c>
    </row>
    <row r="742" spans="1:5" x14ac:dyDescent="0.2">
      <c r="A742" s="208" t="s">
        <v>7</v>
      </c>
      <c r="B742" s="217">
        <v>49205</v>
      </c>
      <c r="C742" s="217">
        <v>1455</v>
      </c>
      <c r="D742" s="217">
        <v>2636</v>
      </c>
      <c r="E742" s="217">
        <f t="shared" si="57"/>
        <v>53296</v>
      </c>
    </row>
    <row r="743" spans="1:5" x14ac:dyDescent="0.2">
      <c r="A743" s="209" t="s">
        <v>339</v>
      </c>
      <c r="B743" s="218">
        <v>10000</v>
      </c>
      <c r="C743" s="218"/>
      <c r="D743" s="217"/>
      <c r="E743" s="218">
        <f t="shared" si="57"/>
        <v>10000</v>
      </c>
    </row>
    <row r="744" spans="1:5" x14ac:dyDescent="0.2">
      <c r="A744" s="210"/>
      <c r="B744" s="215"/>
      <c r="C744" s="215"/>
      <c r="D744" s="215"/>
      <c r="E744" s="215">
        <f t="shared" si="57"/>
        <v>0</v>
      </c>
    </row>
    <row r="745" spans="1:5" x14ac:dyDescent="0.2">
      <c r="A745" s="224" t="s">
        <v>134</v>
      </c>
      <c r="B745" s="225">
        <f>B746+B752+B755</f>
        <v>49500</v>
      </c>
      <c r="C745" s="225">
        <f>C746+C752+C755</f>
        <v>9300</v>
      </c>
      <c r="D745" s="215">
        <f>D746+D752+D755</f>
        <v>-200</v>
      </c>
      <c r="E745" s="225">
        <f t="shared" si="57"/>
        <v>58600</v>
      </c>
    </row>
    <row r="746" spans="1:5" x14ac:dyDescent="0.2">
      <c r="A746" s="210" t="s">
        <v>310</v>
      </c>
      <c r="B746" s="215">
        <f>SUM(B747:B751)</f>
        <v>38600</v>
      </c>
      <c r="C746" s="215">
        <f>SUM(C747:C751)</f>
        <v>9200</v>
      </c>
      <c r="D746" s="215">
        <f>SUM(D747:D751)</f>
        <v>-200</v>
      </c>
      <c r="E746" s="215">
        <f t="shared" si="57"/>
        <v>47600</v>
      </c>
    </row>
    <row r="747" spans="1:5" x14ac:dyDescent="0.2">
      <c r="A747" s="209" t="s">
        <v>335</v>
      </c>
      <c r="B747" s="218">
        <v>22300</v>
      </c>
      <c r="C747" s="218">
        <v>4200</v>
      </c>
      <c r="D747" s="217"/>
      <c r="E747" s="218">
        <f t="shared" si="57"/>
        <v>26500</v>
      </c>
    </row>
    <row r="748" spans="1:5" x14ac:dyDescent="0.2">
      <c r="A748" s="209" t="s">
        <v>323</v>
      </c>
      <c r="B748" s="218">
        <v>500</v>
      </c>
      <c r="C748" s="218">
        <v>1000</v>
      </c>
      <c r="D748" s="217">
        <v>-400</v>
      </c>
      <c r="E748" s="218">
        <f t="shared" si="57"/>
        <v>1100</v>
      </c>
    </row>
    <row r="749" spans="1:5" x14ac:dyDescent="0.2">
      <c r="A749" s="209" t="s">
        <v>304</v>
      </c>
      <c r="B749" s="218">
        <v>2500</v>
      </c>
      <c r="C749" s="218"/>
      <c r="D749" s="217">
        <v>-200</v>
      </c>
      <c r="E749" s="218">
        <f t="shared" si="57"/>
        <v>2300</v>
      </c>
    </row>
    <row r="750" spans="1:5" ht="25.5" x14ac:dyDescent="0.2">
      <c r="A750" s="209" t="s">
        <v>332</v>
      </c>
      <c r="B750" s="218">
        <v>13000</v>
      </c>
      <c r="C750" s="218">
        <v>4000</v>
      </c>
      <c r="D750" s="217">
        <v>400</v>
      </c>
      <c r="E750" s="218">
        <f t="shared" si="57"/>
        <v>17400</v>
      </c>
    </row>
    <row r="751" spans="1:5" ht="25.5" x14ac:dyDescent="0.2">
      <c r="A751" s="209" t="s">
        <v>320</v>
      </c>
      <c r="B751" s="218">
        <v>300</v>
      </c>
      <c r="C751" s="218"/>
      <c r="D751" s="217"/>
      <c r="E751" s="218">
        <f t="shared" si="57"/>
        <v>300</v>
      </c>
    </row>
    <row r="752" spans="1:5" x14ac:dyDescent="0.2">
      <c r="A752" s="210" t="s">
        <v>311</v>
      </c>
      <c r="B752" s="215">
        <f>SUM(B753:B754)</f>
        <v>600</v>
      </c>
      <c r="C752" s="215">
        <f>SUM(C753:C754)</f>
        <v>-100</v>
      </c>
      <c r="D752" s="215">
        <f>SUM(D753:D754)</f>
        <v>0</v>
      </c>
      <c r="E752" s="215">
        <f t="shared" si="57"/>
        <v>500</v>
      </c>
    </row>
    <row r="753" spans="1:5" x14ac:dyDescent="0.2">
      <c r="A753" s="209" t="s">
        <v>304</v>
      </c>
      <c r="B753" s="218">
        <v>200</v>
      </c>
      <c r="C753" s="218">
        <v>-100</v>
      </c>
      <c r="D753" s="217"/>
      <c r="E753" s="218">
        <f t="shared" si="57"/>
        <v>100</v>
      </c>
    </row>
    <row r="754" spans="1:5" ht="25.5" x14ac:dyDescent="0.2">
      <c r="A754" s="209" t="s">
        <v>324</v>
      </c>
      <c r="B754" s="218">
        <v>400</v>
      </c>
      <c r="C754" s="218"/>
      <c r="D754" s="217"/>
      <c r="E754" s="218">
        <f t="shared" si="57"/>
        <v>400</v>
      </c>
    </row>
    <row r="755" spans="1:5" x14ac:dyDescent="0.2">
      <c r="A755" s="210" t="s">
        <v>348</v>
      </c>
      <c r="B755" s="215">
        <f>SUM(B756:B760)</f>
        <v>10300</v>
      </c>
      <c r="C755" s="215">
        <f>SUM(C756:C760)</f>
        <v>200</v>
      </c>
      <c r="D755" s="215">
        <f>SUM(D756:D760)</f>
        <v>0</v>
      </c>
      <c r="E755" s="215">
        <f t="shared" si="57"/>
        <v>10500</v>
      </c>
    </row>
    <row r="756" spans="1:5" x14ac:dyDescent="0.2">
      <c r="A756" s="221" t="s">
        <v>6</v>
      </c>
      <c r="B756" s="295">
        <v>4150</v>
      </c>
      <c r="C756" s="295"/>
      <c r="D756" s="295">
        <v>-650</v>
      </c>
      <c r="E756" s="295">
        <f t="shared" si="57"/>
        <v>3500</v>
      </c>
    </row>
    <row r="757" spans="1:5" x14ac:dyDescent="0.2">
      <c r="A757" s="209" t="s">
        <v>10</v>
      </c>
      <c r="B757" s="218">
        <v>2800</v>
      </c>
      <c r="C757" s="218"/>
      <c r="D757" s="217"/>
      <c r="E757" s="218">
        <f t="shared" si="57"/>
        <v>2800</v>
      </c>
    </row>
    <row r="758" spans="1:5" ht="25.5" x14ac:dyDescent="0.2">
      <c r="A758" s="209" t="s">
        <v>125</v>
      </c>
      <c r="B758" s="218">
        <v>2200</v>
      </c>
      <c r="C758" s="218">
        <v>200</v>
      </c>
      <c r="D758" s="217">
        <v>250</v>
      </c>
      <c r="E758" s="218">
        <f t="shared" si="57"/>
        <v>2650</v>
      </c>
    </row>
    <row r="759" spans="1:5" x14ac:dyDescent="0.2">
      <c r="A759" s="209" t="s">
        <v>386</v>
      </c>
      <c r="B759" s="218">
        <v>700</v>
      </c>
      <c r="C759" s="218"/>
      <c r="D759" s="217">
        <v>400</v>
      </c>
      <c r="E759" s="218">
        <f t="shared" si="57"/>
        <v>1100</v>
      </c>
    </row>
    <row r="760" spans="1:5" x14ac:dyDescent="0.2">
      <c r="A760" s="209" t="s">
        <v>135</v>
      </c>
      <c r="B760" s="218">
        <v>450</v>
      </c>
      <c r="C760" s="218"/>
      <c r="D760" s="217"/>
      <c r="E760" s="218">
        <f t="shared" si="57"/>
        <v>450</v>
      </c>
    </row>
    <row r="761" spans="1:5" x14ac:dyDescent="0.2">
      <c r="A761" s="210"/>
      <c r="B761" s="215"/>
      <c r="C761" s="215"/>
      <c r="D761" s="215"/>
      <c r="E761" s="215">
        <f t="shared" si="57"/>
        <v>0</v>
      </c>
    </row>
    <row r="762" spans="1:5" x14ac:dyDescent="0.2">
      <c r="A762" s="211" t="s">
        <v>136</v>
      </c>
      <c r="B762" s="213">
        <f>B764+B782+B787+B792+B799</f>
        <v>1265910</v>
      </c>
      <c r="C762" s="213">
        <f>C764+C782+C787+C792+C799</f>
        <v>40115</v>
      </c>
      <c r="D762" s="213">
        <f>D764+D781+D787+D792+D799</f>
        <v>35174</v>
      </c>
      <c r="E762" s="213">
        <f t="shared" si="57"/>
        <v>1341199</v>
      </c>
    </row>
    <row r="763" spans="1:5" x14ac:dyDescent="0.2">
      <c r="A763" s="232"/>
      <c r="B763" s="233"/>
      <c r="C763" s="233"/>
      <c r="D763" s="220"/>
      <c r="E763" s="233">
        <f t="shared" si="57"/>
        <v>0</v>
      </c>
    </row>
    <row r="764" spans="1:5" x14ac:dyDescent="0.2">
      <c r="A764" s="210" t="s">
        <v>137</v>
      </c>
      <c r="B764" s="215">
        <f>B765+B769+B773+B777</f>
        <v>1082800</v>
      </c>
      <c r="C764" s="215">
        <f>C765+C769+C773+C777</f>
        <v>8900</v>
      </c>
      <c r="D764" s="215">
        <f>D765+D769+D773+D777</f>
        <v>36074</v>
      </c>
      <c r="E764" s="215">
        <f t="shared" si="57"/>
        <v>1127774</v>
      </c>
    </row>
    <row r="765" spans="1:5" x14ac:dyDescent="0.2">
      <c r="A765" s="210" t="s">
        <v>342</v>
      </c>
      <c r="B765" s="215">
        <f>SUM(B766:B768)</f>
        <v>332500</v>
      </c>
      <c r="C765" s="215">
        <f>SUM(C766:C768)</f>
        <v>0</v>
      </c>
      <c r="D765" s="215">
        <f>SUM(D766:D768)</f>
        <v>-16900</v>
      </c>
      <c r="E765" s="215">
        <f t="shared" si="57"/>
        <v>315600</v>
      </c>
    </row>
    <row r="766" spans="1:5" x14ac:dyDescent="0.2">
      <c r="A766" s="208" t="s">
        <v>343</v>
      </c>
      <c r="B766" s="217">
        <v>97000</v>
      </c>
      <c r="C766" s="217"/>
      <c r="D766" s="217">
        <v>2000</v>
      </c>
      <c r="E766" s="217">
        <f t="shared" si="57"/>
        <v>99000</v>
      </c>
    </row>
    <row r="767" spans="1:5" x14ac:dyDescent="0.2">
      <c r="A767" s="209" t="s">
        <v>5</v>
      </c>
      <c r="B767" s="218">
        <v>5500</v>
      </c>
      <c r="C767" s="218"/>
      <c r="D767" s="217">
        <v>-2900</v>
      </c>
      <c r="E767" s="218">
        <f t="shared" ref="E767:E808" si="58">SUM(B767:D767)</f>
        <v>2600</v>
      </c>
    </row>
    <row r="768" spans="1:5" x14ac:dyDescent="0.2">
      <c r="A768" s="208" t="s">
        <v>297</v>
      </c>
      <c r="B768" s="217">
        <v>230000</v>
      </c>
      <c r="C768" s="217"/>
      <c r="D768" s="217">
        <v>-16000</v>
      </c>
      <c r="E768" s="217">
        <f t="shared" si="58"/>
        <v>214000</v>
      </c>
    </row>
    <row r="769" spans="1:5" x14ac:dyDescent="0.2">
      <c r="A769" s="210" t="s">
        <v>295</v>
      </c>
      <c r="B769" s="215">
        <f>SUM(B770:B772)</f>
        <v>592400</v>
      </c>
      <c r="C769" s="215">
        <f>SUM(C770:C772)</f>
        <v>4400</v>
      </c>
      <c r="D769" s="215">
        <f>SUM(D770:D772)</f>
        <v>13700</v>
      </c>
      <c r="E769" s="215">
        <f t="shared" si="58"/>
        <v>610500</v>
      </c>
    </row>
    <row r="770" spans="1:5" x14ac:dyDescent="0.2">
      <c r="A770" s="208" t="s">
        <v>296</v>
      </c>
      <c r="B770" s="217">
        <v>445000</v>
      </c>
      <c r="C770" s="217">
        <v>4400</v>
      </c>
      <c r="D770" s="217">
        <v>8500</v>
      </c>
      <c r="E770" s="217">
        <f t="shared" si="58"/>
        <v>457900</v>
      </c>
    </row>
    <row r="771" spans="1:5" x14ac:dyDescent="0.2">
      <c r="A771" s="208" t="s">
        <v>297</v>
      </c>
      <c r="B771" s="217">
        <v>145000</v>
      </c>
      <c r="C771" s="217"/>
      <c r="D771" s="217">
        <v>6600</v>
      </c>
      <c r="E771" s="217">
        <f t="shared" si="58"/>
        <v>151600</v>
      </c>
    </row>
    <row r="772" spans="1:5" x14ac:dyDescent="0.2">
      <c r="A772" s="208" t="s">
        <v>312</v>
      </c>
      <c r="B772" s="217">
        <v>2400</v>
      </c>
      <c r="C772" s="217"/>
      <c r="D772" s="217">
        <v>-1400</v>
      </c>
      <c r="E772" s="217">
        <f t="shared" si="58"/>
        <v>1000</v>
      </c>
    </row>
    <row r="773" spans="1:5" x14ac:dyDescent="0.2">
      <c r="A773" s="224" t="s">
        <v>337</v>
      </c>
      <c r="B773" s="225">
        <f>SUM(B774:B776)</f>
        <v>141000</v>
      </c>
      <c r="C773" s="225">
        <f>SUM(C774:C776)</f>
        <v>4000</v>
      </c>
      <c r="D773" s="215">
        <f>SUM(D774:D776)</f>
        <v>30000</v>
      </c>
      <c r="E773" s="225">
        <f t="shared" si="58"/>
        <v>175000</v>
      </c>
    </row>
    <row r="774" spans="1:5" x14ac:dyDescent="0.2">
      <c r="A774" s="209" t="s">
        <v>365</v>
      </c>
      <c r="B774" s="218">
        <v>120000</v>
      </c>
      <c r="C774" s="218">
        <v>4000</v>
      </c>
      <c r="D774" s="217">
        <v>30000</v>
      </c>
      <c r="E774" s="218">
        <f t="shared" si="58"/>
        <v>154000</v>
      </c>
    </row>
    <row r="775" spans="1:5" x14ac:dyDescent="0.2">
      <c r="A775" s="209" t="s">
        <v>338</v>
      </c>
      <c r="B775" s="218">
        <v>19500</v>
      </c>
      <c r="C775" s="218"/>
      <c r="D775" s="217"/>
      <c r="E775" s="218">
        <f t="shared" si="58"/>
        <v>19500</v>
      </c>
    </row>
    <row r="776" spans="1:5" x14ac:dyDescent="0.2">
      <c r="A776" s="234" t="s">
        <v>367</v>
      </c>
      <c r="B776" s="218">
        <v>1500</v>
      </c>
      <c r="C776" s="218"/>
      <c r="D776" s="217"/>
      <c r="E776" s="218">
        <f t="shared" si="58"/>
        <v>1500</v>
      </c>
    </row>
    <row r="777" spans="1:5" x14ac:dyDescent="0.2">
      <c r="A777" s="224" t="s">
        <v>299</v>
      </c>
      <c r="B777" s="225">
        <f>SUM(B779:B780)</f>
        <v>16900</v>
      </c>
      <c r="C777" s="225">
        <f>SUM(C779:C780)</f>
        <v>500</v>
      </c>
      <c r="D777" s="215">
        <f>SUM(D778:D780)</f>
        <v>9274</v>
      </c>
      <c r="E777" s="225">
        <f t="shared" si="58"/>
        <v>26674</v>
      </c>
    </row>
    <row r="778" spans="1:5" x14ac:dyDescent="0.2">
      <c r="A778" s="208" t="s">
        <v>301</v>
      </c>
      <c r="B778" s="225"/>
      <c r="C778" s="225"/>
      <c r="D778" s="217">
        <v>2574</v>
      </c>
      <c r="E778" s="225">
        <f t="shared" si="58"/>
        <v>2574</v>
      </c>
    </row>
    <row r="779" spans="1:5" x14ac:dyDescent="0.2">
      <c r="A779" s="208" t="s">
        <v>7</v>
      </c>
      <c r="B779" s="217">
        <v>13000</v>
      </c>
      <c r="C779" s="217"/>
      <c r="D779" s="217">
        <v>6700</v>
      </c>
      <c r="E779" s="217">
        <f t="shared" si="58"/>
        <v>19700</v>
      </c>
    </row>
    <row r="780" spans="1:5" x14ac:dyDescent="0.2">
      <c r="A780" s="209" t="s">
        <v>339</v>
      </c>
      <c r="B780" s="218">
        <v>3900</v>
      </c>
      <c r="C780" s="218">
        <v>500</v>
      </c>
      <c r="D780" s="217"/>
      <c r="E780" s="218">
        <f t="shared" si="58"/>
        <v>4400</v>
      </c>
    </row>
    <row r="781" spans="1:5" x14ac:dyDescent="0.2">
      <c r="A781" s="210"/>
      <c r="B781" s="215"/>
      <c r="C781" s="215"/>
      <c r="D781" s="215">
        <f>D782</f>
        <v>0</v>
      </c>
      <c r="E781" s="215">
        <f t="shared" si="58"/>
        <v>0</v>
      </c>
    </row>
    <row r="782" spans="1:5" x14ac:dyDescent="0.2">
      <c r="A782" s="224" t="s">
        <v>138</v>
      </c>
      <c r="B782" s="225">
        <f>B783</f>
        <v>9000</v>
      </c>
      <c r="C782" s="225">
        <f>C783</f>
        <v>0</v>
      </c>
      <c r="D782" s="215">
        <f>+D783+D784</f>
        <v>0</v>
      </c>
      <c r="E782" s="225">
        <f t="shared" si="58"/>
        <v>9000</v>
      </c>
    </row>
    <row r="783" spans="1:5" x14ac:dyDescent="0.2">
      <c r="A783" s="210" t="s">
        <v>348</v>
      </c>
      <c r="B783" s="215">
        <f>+B784+B785</f>
        <v>9000</v>
      </c>
      <c r="C783" s="215">
        <f>+C784+C785</f>
        <v>0</v>
      </c>
      <c r="D783" s="217"/>
      <c r="E783" s="215">
        <f t="shared" si="58"/>
        <v>9000</v>
      </c>
    </row>
    <row r="784" spans="1:5" x14ac:dyDescent="0.2">
      <c r="A784" s="209" t="s">
        <v>10</v>
      </c>
      <c r="B784" s="218">
        <v>2500</v>
      </c>
      <c r="C784" s="218"/>
      <c r="D784" s="217"/>
      <c r="E784" s="218">
        <f t="shared" si="58"/>
        <v>2500</v>
      </c>
    </row>
    <row r="785" spans="1:5" x14ac:dyDescent="0.2">
      <c r="A785" s="209" t="s">
        <v>135</v>
      </c>
      <c r="B785" s="218">
        <v>6500</v>
      </c>
      <c r="C785" s="218"/>
      <c r="D785" s="237"/>
      <c r="E785" s="218">
        <f t="shared" si="58"/>
        <v>6500</v>
      </c>
    </row>
    <row r="786" spans="1:5" x14ac:dyDescent="0.2">
      <c r="A786" s="236"/>
      <c r="B786" s="237"/>
      <c r="C786" s="237"/>
      <c r="D786" s="373"/>
      <c r="E786" s="237">
        <f t="shared" si="58"/>
        <v>0</v>
      </c>
    </row>
    <row r="787" spans="1:5" x14ac:dyDescent="0.2">
      <c r="A787" s="224" t="s">
        <v>139</v>
      </c>
      <c r="B787" s="225">
        <f>B788</f>
        <v>8500</v>
      </c>
      <c r="C787" s="225">
        <f>C788</f>
        <v>200</v>
      </c>
      <c r="D787" s="215">
        <f>D788</f>
        <v>-1400</v>
      </c>
      <c r="E787" s="225">
        <f t="shared" si="58"/>
        <v>7300</v>
      </c>
    </row>
    <row r="788" spans="1:5" x14ac:dyDescent="0.2">
      <c r="A788" s="227" t="s">
        <v>348</v>
      </c>
      <c r="B788" s="226">
        <f>B790+B789</f>
        <v>8500</v>
      </c>
      <c r="C788" s="226">
        <f>C790+C789</f>
        <v>200</v>
      </c>
      <c r="D788" s="226">
        <f>D790+D789</f>
        <v>-1400</v>
      </c>
      <c r="E788" s="226">
        <f t="shared" si="58"/>
        <v>7300</v>
      </c>
    </row>
    <row r="789" spans="1:5" x14ac:dyDescent="0.2">
      <c r="A789" s="208" t="s">
        <v>6</v>
      </c>
      <c r="B789" s="226">
        <f>6600+100</f>
        <v>6700</v>
      </c>
      <c r="C789" s="226"/>
      <c r="D789" s="226">
        <v>-1200</v>
      </c>
      <c r="E789" s="226">
        <f t="shared" si="58"/>
        <v>5500</v>
      </c>
    </row>
    <row r="790" spans="1:5" x14ac:dyDescent="0.2">
      <c r="A790" s="209" t="s">
        <v>304</v>
      </c>
      <c r="B790" s="218">
        <v>1800</v>
      </c>
      <c r="C790" s="218">
        <v>200</v>
      </c>
      <c r="D790" s="217">
        <v>-200</v>
      </c>
      <c r="E790" s="218">
        <f t="shared" si="58"/>
        <v>1800</v>
      </c>
    </row>
    <row r="791" spans="1:5" x14ac:dyDescent="0.2">
      <c r="A791" s="209"/>
      <c r="B791" s="218"/>
      <c r="C791" s="218"/>
      <c r="D791" s="217"/>
      <c r="E791" s="218">
        <f t="shared" si="58"/>
        <v>0</v>
      </c>
    </row>
    <row r="792" spans="1:5" x14ac:dyDescent="0.2">
      <c r="A792" s="210" t="s">
        <v>140</v>
      </c>
      <c r="B792" s="215">
        <f>B793</f>
        <v>163300</v>
      </c>
      <c r="C792" s="215">
        <f>C793</f>
        <v>30000</v>
      </c>
      <c r="D792" s="215">
        <f>D793</f>
        <v>0</v>
      </c>
      <c r="E792" s="215">
        <f t="shared" si="58"/>
        <v>193300</v>
      </c>
    </row>
    <row r="793" spans="1:5" x14ac:dyDescent="0.2">
      <c r="A793" s="210" t="s">
        <v>310</v>
      </c>
      <c r="B793" s="215">
        <f>SUM(B794:B797)</f>
        <v>163300</v>
      </c>
      <c r="C793" s="215">
        <f>SUM(C794:C797)</f>
        <v>30000</v>
      </c>
      <c r="D793" s="215">
        <f>SUM(D794:D797)</f>
        <v>0</v>
      </c>
      <c r="E793" s="215">
        <f t="shared" si="58"/>
        <v>193300</v>
      </c>
    </row>
    <row r="794" spans="1:5" x14ac:dyDescent="0.2">
      <c r="A794" s="208" t="s">
        <v>335</v>
      </c>
      <c r="B794" s="217">
        <v>13835</v>
      </c>
      <c r="C794" s="217"/>
      <c r="D794" s="217"/>
      <c r="E794" s="217">
        <f t="shared" si="58"/>
        <v>13835</v>
      </c>
    </row>
    <row r="795" spans="1:5" x14ac:dyDescent="0.2">
      <c r="A795" s="208" t="s">
        <v>323</v>
      </c>
      <c r="B795" s="217">
        <v>1500</v>
      </c>
      <c r="C795" s="217">
        <v>30000</v>
      </c>
      <c r="D795" s="217"/>
      <c r="E795" s="217">
        <f t="shared" si="58"/>
        <v>31500</v>
      </c>
    </row>
    <row r="796" spans="1:5" x14ac:dyDescent="0.2">
      <c r="A796" s="209" t="s">
        <v>304</v>
      </c>
      <c r="B796" s="218">
        <v>2200</v>
      </c>
      <c r="C796" s="218"/>
      <c r="D796" s="217"/>
      <c r="E796" s="218">
        <f t="shared" si="58"/>
        <v>2200</v>
      </c>
    </row>
    <row r="797" spans="1:5" ht="25.5" x14ac:dyDescent="0.2">
      <c r="A797" s="209" t="s">
        <v>332</v>
      </c>
      <c r="B797" s="218">
        <v>145765</v>
      </c>
      <c r="C797" s="218"/>
      <c r="D797" s="217"/>
      <c r="E797" s="218">
        <f t="shared" si="58"/>
        <v>145765</v>
      </c>
    </row>
    <row r="798" spans="1:5" x14ac:dyDescent="0.2">
      <c r="A798" s="209"/>
      <c r="B798" s="218"/>
      <c r="C798" s="218"/>
      <c r="D798" s="217"/>
      <c r="E798" s="218">
        <f t="shared" si="58"/>
        <v>0</v>
      </c>
    </row>
    <row r="799" spans="1:5" x14ac:dyDescent="0.2">
      <c r="A799" s="210" t="s">
        <v>750</v>
      </c>
      <c r="B799" s="215">
        <f>B800+B805</f>
        <v>2310</v>
      </c>
      <c r="C799" s="215">
        <f>C800+C805</f>
        <v>1015</v>
      </c>
      <c r="D799" s="215">
        <f>D800+D805</f>
        <v>500</v>
      </c>
      <c r="E799" s="215">
        <f t="shared" si="58"/>
        <v>3825</v>
      </c>
    </row>
    <row r="800" spans="1:5" x14ac:dyDescent="0.2">
      <c r="A800" s="210" t="s">
        <v>311</v>
      </c>
      <c r="B800" s="215">
        <f>B801+B802+B803</f>
        <v>990</v>
      </c>
      <c r="C800" s="215">
        <f>C801+C802+C803</f>
        <v>1015</v>
      </c>
      <c r="D800" s="215">
        <f>D801+D802+D803+D804</f>
        <v>500</v>
      </c>
      <c r="E800" s="215">
        <f t="shared" si="58"/>
        <v>2505</v>
      </c>
    </row>
    <row r="801" spans="1:5" x14ac:dyDescent="0.2">
      <c r="A801" s="208" t="s">
        <v>10</v>
      </c>
      <c r="B801" s="217">
        <v>160</v>
      </c>
      <c r="C801" s="217">
        <v>80</v>
      </c>
      <c r="D801" s="217"/>
      <c r="E801" s="217">
        <f t="shared" si="58"/>
        <v>240</v>
      </c>
    </row>
    <row r="802" spans="1:5" x14ac:dyDescent="0.2">
      <c r="A802" s="208" t="s">
        <v>324</v>
      </c>
      <c r="B802" s="217">
        <v>730</v>
      </c>
      <c r="C802" s="217"/>
      <c r="D802" s="217">
        <v>500</v>
      </c>
      <c r="E802" s="217">
        <f t="shared" si="58"/>
        <v>1230</v>
      </c>
    </row>
    <row r="803" spans="1:5" x14ac:dyDescent="0.2">
      <c r="A803" s="208" t="s">
        <v>39</v>
      </c>
      <c r="B803" s="217">
        <v>100</v>
      </c>
      <c r="C803" s="217">
        <v>935</v>
      </c>
      <c r="D803" s="217">
        <v>-966</v>
      </c>
      <c r="E803" s="217">
        <f t="shared" si="58"/>
        <v>69</v>
      </c>
    </row>
    <row r="804" spans="1:5" x14ac:dyDescent="0.2">
      <c r="A804" s="208" t="s">
        <v>322</v>
      </c>
      <c r="B804" s="217"/>
      <c r="C804" s="217"/>
      <c r="D804" s="217">
        <v>966</v>
      </c>
      <c r="E804" s="217">
        <f t="shared" si="58"/>
        <v>966</v>
      </c>
    </row>
    <row r="805" spans="1:5" x14ac:dyDescent="0.2">
      <c r="A805" s="210" t="s">
        <v>295</v>
      </c>
      <c r="B805" s="215">
        <f>B806</f>
        <v>1320</v>
      </c>
      <c r="C805" s="215">
        <f>C806</f>
        <v>0</v>
      </c>
      <c r="D805" s="215">
        <f>D806</f>
        <v>0</v>
      </c>
      <c r="E805" s="215">
        <f t="shared" si="58"/>
        <v>1320</v>
      </c>
    </row>
    <row r="806" spans="1:5" x14ac:dyDescent="0.2">
      <c r="A806" s="208" t="s">
        <v>296</v>
      </c>
      <c r="B806" s="217">
        <v>1320</v>
      </c>
      <c r="C806" s="217"/>
      <c r="D806" s="217"/>
      <c r="E806" s="217">
        <f t="shared" si="58"/>
        <v>1320</v>
      </c>
    </row>
    <row r="807" spans="1:5" x14ac:dyDescent="0.2">
      <c r="A807" s="208"/>
      <c r="B807" s="217"/>
      <c r="D807" s="373"/>
      <c r="E807" s="217">
        <f t="shared" si="58"/>
        <v>0</v>
      </c>
    </row>
    <row r="808" spans="1:5" x14ac:dyDescent="0.2">
      <c r="A808" s="211" t="s">
        <v>141</v>
      </c>
      <c r="B808" s="213">
        <f>+B5+B10+B18+B25+B32+B120+B218+B305+B390+B468+B419+B409+B439+B474+B506+B553+B575+B629+B671+B729+B762+B378</f>
        <v>55816328</v>
      </c>
      <c r="C808" s="213">
        <f>+C5+C10+C18+C25+C32+C120+C218+C305+C390+C468+C419+C409+C439+C474+C506+C553+C575+C629+C671+C729+C762+C378</f>
        <v>876436</v>
      </c>
      <c r="D808" s="213">
        <f>+D5+D10+D18+D25+D32+D120+D218+D305+D390+D468+D419+D409+D439+D474+D506+D553+D575+D629+D671+D729+D762+D378</f>
        <v>1240576</v>
      </c>
      <c r="E808" s="213">
        <f t="shared" si="58"/>
        <v>57933340</v>
      </c>
    </row>
    <row r="811" spans="1:5" x14ac:dyDescent="0.2">
      <c r="A811" s="273" t="s">
        <v>834</v>
      </c>
    </row>
    <row r="812" spans="1:5" x14ac:dyDescent="0.2">
      <c r="A812" s="4" t="s">
        <v>42</v>
      </c>
      <c r="B812" s="238">
        <f>B5</f>
        <v>28586</v>
      </c>
      <c r="C812" s="238">
        <f>C5</f>
        <v>-1039</v>
      </c>
      <c r="D812" s="238">
        <f>D5</f>
        <v>0</v>
      </c>
      <c r="E812" s="238">
        <f>E5</f>
        <v>27547</v>
      </c>
    </row>
    <row r="813" spans="1:5" x14ac:dyDescent="0.2">
      <c r="A813" s="4" t="s">
        <v>181</v>
      </c>
      <c r="B813" s="238">
        <f>B10</f>
        <v>566497</v>
      </c>
      <c r="C813" s="238">
        <f>C10</f>
        <v>0</v>
      </c>
      <c r="D813" s="238">
        <f>D10</f>
        <v>0</v>
      </c>
      <c r="E813" s="238">
        <f>E10</f>
        <v>566497</v>
      </c>
    </row>
    <row r="814" spans="1:5" x14ac:dyDescent="0.2">
      <c r="A814" s="4" t="s">
        <v>169</v>
      </c>
      <c r="B814" s="238">
        <f>B18</f>
        <v>29500</v>
      </c>
      <c r="C814" s="238">
        <f>C18</f>
        <v>0</v>
      </c>
      <c r="D814" s="238">
        <f>D18</f>
        <v>6500</v>
      </c>
      <c r="E814" s="238">
        <f>E18</f>
        <v>36000</v>
      </c>
    </row>
    <row r="815" spans="1:5" x14ac:dyDescent="0.2">
      <c r="A815" s="4" t="s">
        <v>190</v>
      </c>
      <c r="B815" s="238">
        <f>B25</f>
        <v>200147</v>
      </c>
      <c r="C815" s="238">
        <f>C25</f>
        <v>0</v>
      </c>
      <c r="D815" s="238">
        <f>D25</f>
        <v>19530</v>
      </c>
      <c r="E815" s="238">
        <f>E25</f>
        <v>219677</v>
      </c>
    </row>
    <row r="816" spans="1:5" x14ac:dyDescent="0.2">
      <c r="A816" s="4" t="s">
        <v>192</v>
      </c>
      <c r="B816" s="238">
        <f>B32</f>
        <v>26580454</v>
      </c>
      <c r="C816" s="238">
        <f>C32</f>
        <v>231847</v>
      </c>
      <c r="D816" s="238">
        <f>D32</f>
        <v>272934</v>
      </c>
      <c r="E816" s="238">
        <f>E32</f>
        <v>27085235</v>
      </c>
    </row>
    <row r="817" spans="1:5" x14ac:dyDescent="0.2">
      <c r="A817" s="4" t="s">
        <v>178</v>
      </c>
      <c r="B817" s="238">
        <f>B120</f>
        <v>4466800</v>
      </c>
      <c r="C817" s="238">
        <f>C120</f>
        <v>91700</v>
      </c>
      <c r="D817" s="238">
        <f>D120</f>
        <v>440440</v>
      </c>
      <c r="E817" s="238">
        <f>E120</f>
        <v>4998940</v>
      </c>
    </row>
    <row r="818" spans="1:5" x14ac:dyDescent="0.2">
      <c r="A818" s="4" t="s">
        <v>207</v>
      </c>
      <c r="B818" s="238">
        <f>B218</f>
        <v>4282365</v>
      </c>
      <c r="C818" s="238">
        <f>C218</f>
        <v>153597</v>
      </c>
      <c r="D818" s="238">
        <f>D218</f>
        <v>163526</v>
      </c>
      <c r="E818" s="238">
        <f>E218</f>
        <v>4599488</v>
      </c>
    </row>
    <row r="819" spans="1:5" x14ac:dyDescent="0.2">
      <c r="A819" s="4" t="s">
        <v>176</v>
      </c>
      <c r="B819" s="238">
        <f t="shared" ref="B819:E819" si="59">B305</f>
        <v>2371489</v>
      </c>
      <c r="C819" s="238">
        <f t="shared" si="59"/>
        <v>49790</v>
      </c>
      <c r="D819" s="238">
        <f t="shared" si="59"/>
        <v>75321</v>
      </c>
      <c r="E819" s="238">
        <f t="shared" si="59"/>
        <v>2496600</v>
      </c>
    </row>
    <row r="820" spans="1:5" x14ac:dyDescent="0.2">
      <c r="A820" s="4" t="s">
        <v>172</v>
      </c>
      <c r="B820" s="238">
        <f t="shared" ref="B820:E820" si="60">B378</f>
        <v>2962530</v>
      </c>
      <c r="C820" s="238">
        <f t="shared" si="60"/>
        <v>17130</v>
      </c>
      <c r="D820" s="238">
        <f t="shared" si="60"/>
        <v>-27200</v>
      </c>
      <c r="E820" s="238">
        <f t="shared" si="60"/>
        <v>2952460</v>
      </c>
    </row>
    <row r="821" spans="1:5" x14ac:dyDescent="0.2">
      <c r="A821" s="4" t="s">
        <v>167</v>
      </c>
      <c r="B821" s="238">
        <f t="shared" ref="B821:E821" si="61">B390</f>
        <v>987183</v>
      </c>
      <c r="C821" s="238">
        <f t="shared" si="61"/>
        <v>22700</v>
      </c>
      <c r="D821" s="238">
        <f t="shared" si="61"/>
        <v>-201070</v>
      </c>
      <c r="E821" s="238">
        <f t="shared" si="61"/>
        <v>808813</v>
      </c>
    </row>
    <row r="822" spans="1:5" x14ac:dyDescent="0.2">
      <c r="A822" s="4" t="s">
        <v>168</v>
      </c>
      <c r="B822" s="238">
        <f t="shared" ref="B822:E822" si="62">B409</f>
        <v>1278670</v>
      </c>
      <c r="C822" s="238">
        <f t="shared" si="62"/>
        <v>0</v>
      </c>
      <c r="D822" s="238">
        <f t="shared" si="62"/>
        <v>-13400</v>
      </c>
      <c r="E822" s="238">
        <f t="shared" si="62"/>
        <v>1265270</v>
      </c>
    </row>
    <row r="823" spans="1:5" x14ac:dyDescent="0.2">
      <c r="A823" s="4" t="s">
        <v>269</v>
      </c>
      <c r="B823" s="238">
        <f t="shared" ref="B823:E823" si="63">B419</f>
        <v>753684</v>
      </c>
      <c r="C823" s="238">
        <f t="shared" si="63"/>
        <v>0</v>
      </c>
      <c r="D823" s="238">
        <f t="shared" si="63"/>
        <v>0</v>
      </c>
      <c r="E823" s="238">
        <f t="shared" si="63"/>
        <v>753684</v>
      </c>
    </row>
    <row r="824" spans="1:5" x14ac:dyDescent="0.2">
      <c r="A824" s="4" t="s">
        <v>276</v>
      </c>
      <c r="B824" s="238">
        <f t="shared" ref="B824:E824" si="64">B439</f>
        <v>2083238</v>
      </c>
      <c r="C824" s="238">
        <f t="shared" si="64"/>
        <v>4000</v>
      </c>
      <c r="D824" s="238">
        <f t="shared" si="64"/>
        <v>470700</v>
      </c>
      <c r="E824" s="238">
        <f t="shared" si="64"/>
        <v>2557938</v>
      </c>
    </row>
    <row r="825" spans="1:5" x14ac:dyDescent="0.2">
      <c r="A825" s="4" t="s">
        <v>170</v>
      </c>
      <c r="B825" s="238">
        <f t="shared" ref="B825:E825" si="65">B468</f>
        <v>8000</v>
      </c>
      <c r="C825" s="238">
        <f t="shared" si="65"/>
        <v>0</v>
      </c>
      <c r="D825" s="238">
        <f t="shared" si="65"/>
        <v>6000</v>
      </c>
      <c r="E825" s="238">
        <f t="shared" si="65"/>
        <v>14000</v>
      </c>
    </row>
    <row r="826" spans="1:5" x14ac:dyDescent="0.2">
      <c r="A826" s="4" t="s">
        <v>175</v>
      </c>
      <c r="C826" s="238"/>
      <c r="D826" s="238"/>
    </row>
    <row r="827" spans="1:5" x14ac:dyDescent="0.2">
      <c r="A827" s="4" t="s">
        <v>282</v>
      </c>
      <c r="B827" s="238">
        <f t="shared" ref="B827:E827" si="66">B474</f>
        <v>329407</v>
      </c>
      <c r="C827" s="238">
        <f t="shared" si="66"/>
        <v>2950</v>
      </c>
      <c r="D827" s="238">
        <f t="shared" si="66"/>
        <v>12220</v>
      </c>
      <c r="E827" s="238">
        <f t="shared" si="66"/>
        <v>344577</v>
      </c>
    </row>
    <row r="828" spans="1:5" x14ac:dyDescent="0.2">
      <c r="A828" s="4" t="s">
        <v>286</v>
      </c>
      <c r="B828" s="238">
        <f t="shared" ref="B828:E828" si="67">B506</f>
        <v>4409090</v>
      </c>
      <c r="C828" s="238">
        <f t="shared" si="67"/>
        <v>267450</v>
      </c>
      <c r="D828" s="238">
        <f t="shared" si="67"/>
        <v>-10867</v>
      </c>
      <c r="E828" s="238">
        <f t="shared" si="67"/>
        <v>4665673</v>
      </c>
    </row>
    <row r="829" spans="1:5" x14ac:dyDescent="0.2">
      <c r="A829" s="4" t="s">
        <v>290</v>
      </c>
      <c r="B829" s="238">
        <f t="shared" ref="B829:E829" si="68">B553</f>
        <v>285462</v>
      </c>
      <c r="C829" s="238">
        <f t="shared" si="68"/>
        <v>-29462</v>
      </c>
      <c r="D829" s="238">
        <f t="shared" si="68"/>
        <v>-6655</v>
      </c>
      <c r="E829" s="238">
        <f t="shared" si="68"/>
        <v>249345</v>
      </c>
    </row>
    <row r="830" spans="1:5" x14ac:dyDescent="0.2">
      <c r="A830" s="4" t="s">
        <v>292</v>
      </c>
      <c r="B830" s="238">
        <f t="shared" ref="B830:E830" si="69">B575</f>
        <v>1242800</v>
      </c>
      <c r="C830" s="238">
        <f t="shared" si="69"/>
        <v>63790</v>
      </c>
      <c r="D830" s="238">
        <f t="shared" si="69"/>
        <v>24225</v>
      </c>
      <c r="E830" s="238">
        <f t="shared" si="69"/>
        <v>1330815</v>
      </c>
    </row>
    <row r="831" spans="1:5" x14ac:dyDescent="0.2">
      <c r="A831" s="4" t="s">
        <v>28</v>
      </c>
      <c r="B831" s="238">
        <f t="shared" ref="B831:E831" si="70">B629</f>
        <v>669940</v>
      </c>
      <c r="C831" s="238">
        <f t="shared" si="70"/>
        <v>9400</v>
      </c>
      <c r="D831" s="238">
        <f t="shared" si="70"/>
        <v>27039</v>
      </c>
      <c r="E831" s="238">
        <f t="shared" si="70"/>
        <v>706379</v>
      </c>
    </row>
    <row r="832" spans="1:5" x14ac:dyDescent="0.2">
      <c r="A832" s="4" t="s">
        <v>30</v>
      </c>
      <c r="B832" s="238">
        <f t="shared" ref="B832:E832" si="71">B671</f>
        <v>549426</v>
      </c>
      <c r="C832" s="238">
        <f t="shared" si="71"/>
        <v>19000</v>
      </c>
      <c r="D832" s="238">
        <f t="shared" si="71"/>
        <v>23550</v>
      </c>
      <c r="E832" s="238">
        <f t="shared" si="71"/>
        <v>591976</v>
      </c>
    </row>
    <row r="833" spans="1:5" x14ac:dyDescent="0.2">
      <c r="A833" s="4" t="s">
        <v>31</v>
      </c>
      <c r="B833" s="238">
        <f t="shared" ref="B833:E833" si="72">B729</f>
        <v>465150</v>
      </c>
      <c r="C833" s="238">
        <f t="shared" si="72"/>
        <v>-66532</v>
      </c>
      <c r="D833" s="238">
        <f t="shared" si="72"/>
        <v>-77391</v>
      </c>
      <c r="E833" s="238">
        <f t="shared" si="72"/>
        <v>321227</v>
      </c>
    </row>
    <row r="834" spans="1:5" x14ac:dyDescent="0.2">
      <c r="A834" s="4" t="s">
        <v>32</v>
      </c>
      <c r="B834" s="238">
        <f t="shared" ref="B834:E834" si="73">B762</f>
        <v>1265910</v>
      </c>
      <c r="C834" s="238">
        <f t="shared" si="73"/>
        <v>40115</v>
      </c>
      <c r="D834" s="238">
        <f t="shared" si="73"/>
        <v>35174</v>
      </c>
      <c r="E834" s="238">
        <f t="shared" si="73"/>
        <v>1341199</v>
      </c>
    </row>
    <row r="835" spans="1:5" x14ac:dyDescent="0.2">
      <c r="A835" s="275" t="s">
        <v>717</v>
      </c>
      <c r="B835" s="241">
        <f>SUM(B812:B834)</f>
        <v>55816328</v>
      </c>
      <c r="C835" s="241">
        <f t="shared" ref="C835:E835" si="74">SUM(C812:C834)</f>
        <v>876436</v>
      </c>
      <c r="D835" s="241">
        <f t="shared" ref="D835" si="75">SUM(D812:D834)</f>
        <v>1240576</v>
      </c>
      <c r="E835" s="241">
        <f t="shared" si="74"/>
        <v>57933340</v>
      </c>
    </row>
    <row r="836" spans="1:5" x14ac:dyDescent="0.2">
      <c r="B836" s="238">
        <f>B835-B808</f>
        <v>0</v>
      </c>
      <c r="C836" s="238">
        <f t="shared" ref="C836:E836" si="76">C835-C808</f>
        <v>0</v>
      </c>
      <c r="D836" s="238"/>
      <c r="E836" s="238">
        <f t="shared" si="76"/>
        <v>0</v>
      </c>
    </row>
  </sheetData>
  <autoFilter ref="A4:E808"/>
  <mergeCells count="1">
    <mergeCell ref="B3:E3"/>
  </mergeCells>
  <phoneticPr fontId="24" type="noConversion"/>
  <printOptions gridLines="1"/>
  <pageMargins left="0.98425196850393704" right="0.98425196850393704" top="0.47244094488188981" bottom="0.98425196850393704" header="0.51181102362204722" footer="0.51181102362204722"/>
  <pageSetup paperSize="9" scale="70" fitToHeight="0" orientation="portrait" r:id="rId1"/>
  <headerFooter alignWithMargins="0">
    <oddFooter>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</sheetPr>
  <dimension ref="A1:E65"/>
  <sheetViews>
    <sheetView showZeros="0" zoomScaleNormal="100" workbookViewId="0">
      <pane xSplit="1" ySplit="4" topLeftCell="B5" activePane="bottomRight" state="frozen"/>
      <selection activeCell="F136" sqref="F136"/>
      <selection pane="topRight" activeCell="F136" sqref="F136"/>
      <selection pane="bottomLeft" activeCell="F136" sqref="F136"/>
      <selection pane="bottomRight"/>
    </sheetView>
  </sheetViews>
  <sheetFormatPr defaultRowHeight="12.75" x14ac:dyDescent="0.2"/>
  <cols>
    <col min="1" max="1" width="52.7109375" customWidth="1"/>
    <col min="2" max="2" width="11.140625" bestFit="1" customWidth="1"/>
    <col min="3" max="4" width="11.140625" style="59" hidden="1" customWidth="1"/>
    <col min="5" max="5" width="11.140625" style="59" bestFit="1" customWidth="1"/>
  </cols>
  <sheetData>
    <row r="1" spans="1:5" ht="15" x14ac:dyDescent="0.25">
      <c r="A1" s="19" t="s">
        <v>16</v>
      </c>
    </row>
    <row r="2" spans="1:5" s="59" customFormat="1" ht="15" x14ac:dyDescent="0.25">
      <c r="A2" s="19"/>
      <c r="E2" s="318" t="s">
        <v>145</v>
      </c>
    </row>
    <row r="3" spans="1:5" ht="14.25" x14ac:dyDescent="0.2">
      <c r="A3" s="46"/>
      <c r="B3" s="642">
        <v>2015</v>
      </c>
      <c r="C3" s="643"/>
      <c r="D3" s="643"/>
      <c r="E3" s="644"/>
    </row>
    <row r="4" spans="1:5" ht="25.5" x14ac:dyDescent="0.2">
      <c r="A4" s="46"/>
      <c r="B4" s="486" t="s">
        <v>674</v>
      </c>
      <c r="C4" s="483" t="s">
        <v>672</v>
      </c>
      <c r="D4" s="483" t="s">
        <v>844</v>
      </c>
      <c r="E4" s="487" t="s">
        <v>673</v>
      </c>
    </row>
    <row r="5" spans="1:5" x14ac:dyDescent="0.2">
      <c r="A5" s="15" t="s">
        <v>154</v>
      </c>
      <c r="B5" s="7">
        <f>B6+B7</f>
        <v>78201965</v>
      </c>
      <c r="C5" s="7">
        <f>C6+C7</f>
        <v>439451</v>
      </c>
      <c r="D5" s="7">
        <f>D6+D7</f>
        <v>78776</v>
      </c>
      <c r="E5" s="7">
        <f>SUM(B5:D5)</f>
        <v>78720192</v>
      </c>
    </row>
    <row r="6" spans="1:5" s="59" customFormat="1" x14ac:dyDescent="0.2">
      <c r="A6" s="66" t="s">
        <v>20</v>
      </c>
      <c r="B6" s="47">
        <v>74000000</v>
      </c>
      <c r="C6" s="47"/>
      <c r="D6" s="47"/>
      <c r="E6" s="47">
        <f t="shared" ref="E6:E56" si="0">SUM(B6:D6)</f>
        <v>74000000</v>
      </c>
    </row>
    <row r="7" spans="1:5" s="59" customFormat="1" x14ac:dyDescent="0.2">
      <c r="A7" s="67" t="s">
        <v>17</v>
      </c>
      <c r="B7" s="47">
        <f>B8+B11+B10+B12</f>
        <v>4201965</v>
      </c>
      <c r="C7" s="47">
        <f>SUM(C8:C16)</f>
        <v>439451</v>
      </c>
      <c r="D7" s="47">
        <f>SUM(D8:D18)</f>
        <v>78776</v>
      </c>
      <c r="E7" s="47">
        <f t="shared" si="0"/>
        <v>4720192</v>
      </c>
    </row>
    <row r="8" spans="1:5" s="59" customFormat="1" x14ac:dyDescent="0.2">
      <c r="A8" s="301" t="s">
        <v>25</v>
      </c>
      <c r="B8" s="50">
        <v>2800000</v>
      </c>
      <c r="C8" s="50">
        <v>82869</v>
      </c>
      <c r="D8" s="50"/>
      <c r="E8" s="50">
        <f t="shared" si="0"/>
        <v>2882869</v>
      </c>
    </row>
    <row r="9" spans="1:5" s="59" customFormat="1" x14ac:dyDescent="0.2">
      <c r="A9" s="302" t="s">
        <v>754</v>
      </c>
      <c r="B9" s="50"/>
      <c r="C9" s="50">
        <v>500000</v>
      </c>
      <c r="D9" s="50"/>
      <c r="E9" s="50">
        <f t="shared" si="0"/>
        <v>500000</v>
      </c>
    </row>
    <row r="10" spans="1:5" s="59" customFormat="1" x14ac:dyDescent="0.2">
      <c r="A10" s="302" t="s">
        <v>588</v>
      </c>
      <c r="B10" s="50">
        <v>780000</v>
      </c>
      <c r="C10" s="50">
        <v>29099</v>
      </c>
      <c r="D10" s="50"/>
      <c r="E10" s="50">
        <f t="shared" si="0"/>
        <v>809099</v>
      </c>
    </row>
    <row r="11" spans="1:5" s="59" customFormat="1" x14ac:dyDescent="0.2">
      <c r="A11" s="302" t="s">
        <v>26</v>
      </c>
      <c r="B11" s="50">
        <v>322400</v>
      </c>
      <c r="C11" s="50">
        <v>17711</v>
      </c>
      <c r="D11" s="50"/>
      <c r="E11" s="50">
        <f t="shared" si="0"/>
        <v>340111</v>
      </c>
    </row>
    <row r="12" spans="1:5" s="59" customFormat="1" x14ac:dyDescent="0.2">
      <c r="A12" s="239" t="s">
        <v>656</v>
      </c>
      <c r="B12" s="50">
        <v>299565</v>
      </c>
      <c r="C12" s="50">
        <v>-299565</v>
      </c>
      <c r="D12" s="50"/>
      <c r="E12" s="50">
        <f t="shared" si="0"/>
        <v>0</v>
      </c>
    </row>
    <row r="13" spans="1:5" s="59" customFormat="1" ht="24" x14ac:dyDescent="0.2">
      <c r="A13" s="239" t="s">
        <v>755</v>
      </c>
      <c r="B13" s="50"/>
      <c r="C13" s="50">
        <v>14337</v>
      </c>
      <c r="D13" s="50"/>
      <c r="E13" s="50">
        <f t="shared" si="0"/>
        <v>14337</v>
      </c>
    </row>
    <row r="14" spans="1:5" s="59" customFormat="1" x14ac:dyDescent="0.2">
      <c r="A14" s="239" t="s">
        <v>756</v>
      </c>
      <c r="B14" s="50"/>
      <c r="C14" s="50">
        <v>15000</v>
      </c>
      <c r="D14" s="50"/>
      <c r="E14" s="50">
        <f t="shared" si="0"/>
        <v>15000</v>
      </c>
    </row>
    <row r="15" spans="1:5" s="59" customFormat="1" x14ac:dyDescent="0.2">
      <c r="A15" s="239" t="s">
        <v>757</v>
      </c>
      <c r="B15" s="50"/>
      <c r="C15" s="50">
        <v>15000</v>
      </c>
      <c r="D15" s="50"/>
      <c r="E15" s="50">
        <f t="shared" si="0"/>
        <v>15000</v>
      </c>
    </row>
    <row r="16" spans="1:5" s="59" customFormat="1" x14ac:dyDescent="0.2">
      <c r="A16" s="239" t="s">
        <v>758</v>
      </c>
      <c r="B16" s="50"/>
      <c r="C16" s="53">
        <v>65000</v>
      </c>
      <c r="D16" s="53">
        <v>-15000</v>
      </c>
      <c r="E16" s="50">
        <f t="shared" si="0"/>
        <v>50000</v>
      </c>
    </row>
    <row r="17" spans="1:5" s="59" customFormat="1" ht="24" x14ac:dyDescent="0.2">
      <c r="A17" s="353" t="s">
        <v>851</v>
      </c>
      <c r="B17" s="50"/>
      <c r="C17" s="53"/>
      <c r="D17" s="53">
        <v>32199</v>
      </c>
      <c r="E17" s="50">
        <f t="shared" si="0"/>
        <v>32199</v>
      </c>
    </row>
    <row r="18" spans="1:5" s="59" customFormat="1" x14ac:dyDescent="0.2">
      <c r="A18" s="353" t="s">
        <v>849</v>
      </c>
      <c r="B18" s="50"/>
      <c r="C18" s="53"/>
      <c r="D18" s="53">
        <v>61577</v>
      </c>
      <c r="E18" s="50">
        <f t="shared" si="0"/>
        <v>61577</v>
      </c>
    </row>
    <row r="19" spans="1:5" s="59" customFormat="1" x14ac:dyDescent="0.2">
      <c r="A19" s="20"/>
      <c r="B19" s="73"/>
      <c r="C19" s="73"/>
      <c r="D19" s="73"/>
      <c r="E19" s="73">
        <f t="shared" si="0"/>
        <v>0</v>
      </c>
    </row>
    <row r="20" spans="1:5" s="59" customFormat="1" x14ac:dyDescent="0.2">
      <c r="A20" s="15" t="s">
        <v>589</v>
      </c>
      <c r="B20" s="241">
        <f>B21</f>
        <v>125307</v>
      </c>
      <c r="C20" s="241"/>
      <c r="D20" s="241"/>
      <c r="E20" s="241">
        <f t="shared" si="0"/>
        <v>125307</v>
      </c>
    </row>
    <row r="21" spans="1:5" s="59" customFormat="1" x14ac:dyDescent="0.2">
      <c r="A21" s="298" t="s">
        <v>17</v>
      </c>
      <c r="B21" s="242">
        <f>B22</f>
        <v>125307</v>
      </c>
      <c r="C21" s="242"/>
      <c r="D21" s="242"/>
      <c r="E21" s="242">
        <f t="shared" si="0"/>
        <v>125307</v>
      </c>
    </row>
    <row r="22" spans="1:5" s="59" customFormat="1" x14ac:dyDescent="0.2">
      <c r="A22" s="240" t="s">
        <v>590</v>
      </c>
      <c r="B22" s="243">
        <f>B23</f>
        <v>125307</v>
      </c>
      <c r="C22" s="243"/>
      <c r="D22" s="243"/>
      <c r="E22" s="243">
        <f t="shared" si="0"/>
        <v>125307</v>
      </c>
    </row>
    <row r="23" spans="1:5" s="59" customFormat="1" x14ac:dyDescent="0.2">
      <c r="A23" s="37" t="s">
        <v>660</v>
      </c>
      <c r="B23" s="243">
        <v>125307</v>
      </c>
      <c r="C23" s="243"/>
      <c r="D23" s="243"/>
      <c r="E23" s="243">
        <f t="shared" si="0"/>
        <v>125307</v>
      </c>
    </row>
    <row r="24" spans="1:5" s="59" customFormat="1" x14ac:dyDescent="0.2">
      <c r="A24" s="20"/>
      <c r="B24" s="73"/>
      <c r="C24" s="73"/>
      <c r="D24" s="73"/>
      <c r="E24" s="73">
        <f t="shared" si="0"/>
        <v>0</v>
      </c>
    </row>
    <row r="25" spans="1:5" s="59" customFormat="1" x14ac:dyDescent="0.2">
      <c r="A25" s="15" t="s">
        <v>18</v>
      </c>
      <c r="B25" s="48">
        <f>B26+B56</f>
        <v>609865</v>
      </c>
      <c r="C25" s="48">
        <f>C26+C56</f>
        <v>573651</v>
      </c>
      <c r="D25" s="48">
        <f>D26+D56</f>
        <v>14938</v>
      </c>
      <c r="E25" s="48">
        <f t="shared" si="0"/>
        <v>1198454</v>
      </c>
    </row>
    <row r="26" spans="1:5" s="59" customFormat="1" x14ac:dyDescent="0.2">
      <c r="A26" s="20" t="s">
        <v>20</v>
      </c>
      <c r="B26" s="47">
        <f>B28+B33+B43+B49+B52</f>
        <v>142675</v>
      </c>
      <c r="C26" s="47">
        <f>C28+C33+C43+C49+C52+C46</f>
        <v>47892</v>
      </c>
      <c r="D26" s="47">
        <f>D28+D33+D43+D49+D52+D46+D39</f>
        <v>14938</v>
      </c>
      <c r="E26" s="47">
        <f t="shared" si="0"/>
        <v>205505</v>
      </c>
    </row>
    <row r="27" spans="1:5" s="59" customFormat="1" x14ac:dyDescent="0.2">
      <c r="A27" s="37"/>
      <c r="B27" s="73"/>
      <c r="C27" s="73"/>
      <c r="D27" s="73"/>
      <c r="E27" s="73">
        <f t="shared" si="0"/>
        <v>0</v>
      </c>
    </row>
    <row r="28" spans="1:5" s="59" customFormat="1" x14ac:dyDescent="0.2">
      <c r="A28" s="244" t="s">
        <v>591</v>
      </c>
      <c r="B28" s="246">
        <f>B29+B30+B31</f>
        <v>25914</v>
      </c>
      <c r="C28" s="246"/>
      <c r="D28" s="246"/>
      <c r="E28" s="246">
        <f t="shared" si="0"/>
        <v>25914</v>
      </c>
    </row>
    <row r="29" spans="1:5" s="59" customFormat="1" ht="24" x14ac:dyDescent="0.2">
      <c r="A29" s="280" t="s">
        <v>592</v>
      </c>
      <c r="B29" s="50">
        <v>5404</v>
      </c>
      <c r="C29" s="50"/>
      <c r="D29" s="50"/>
      <c r="E29" s="50">
        <f t="shared" si="0"/>
        <v>5404</v>
      </c>
    </row>
    <row r="30" spans="1:5" s="59" customFormat="1" ht="24" x14ac:dyDescent="0.2">
      <c r="A30" s="280" t="s">
        <v>593</v>
      </c>
      <c r="B30" s="50">
        <v>510</v>
      </c>
      <c r="C30" s="50"/>
      <c r="D30" s="50"/>
      <c r="E30" s="50">
        <f t="shared" si="0"/>
        <v>510</v>
      </c>
    </row>
    <row r="31" spans="1:5" s="59" customFormat="1" x14ac:dyDescent="0.2">
      <c r="A31" s="280" t="s">
        <v>735</v>
      </c>
      <c r="B31" s="50">
        <v>20000</v>
      </c>
      <c r="C31" s="50"/>
      <c r="D31" s="50"/>
      <c r="E31" s="50">
        <f t="shared" si="0"/>
        <v>20000</v>
      </c>
    </row>
    <row r="32" spans="1:5" s="59" customFormat="1" x14ac:dyDescent="0.2">
      <c r="A32" s="245"/>
      <c r="B32" s="247"/>
      <c r="C32" s="247"/>
      <c r="D32" s="247"/>
      <c r="E32" s="247">
        <f t="shared" si="0"/>
        <v>0</v>
      </c>
    </row>
    <row r="33" spans="1:5" s="59" customFormat="1" x14ac:dyDescent="0.2">
      <c r="A33" s="74" t="s">
        <v>192</v>
      </c>
      <c r="B33" s="73">
        <f>+B34+B35+B36</f>
        <v>27036</v>
      </c>
      <c r="C33" s="73">
        <f>SUM(C34:C37)</f>
        <v>4117</v>
      </c>
      <c r="D33" s="73"/>
      <c r="E33" s="73">
        <f t="shared" si="0"/>
        <v>31153</v>
      </c>
    </row>
    <row r="34" spans="1:5" s="59" customFormat="1" ht="24" x14ac:dyDescent="0.2">
      <c r="A34" s="49" t="s">
        <v>440</v>
      </c>
      <c r="B34" s="53">
        <v>5583</v>
      </c>
      <c r="C34" s="53">
        <v>3588</v>
      </c>
      <c r="D34" s="53"/>
      <c r="E34" s="53">
        <f t="shared" si="0"/>
        <v>9171</v>
      </c>
    </row>
    <row r="35" spans="1:5" s="59" customFormat="1" x14ac:dyDescent="0.2">
      <c r="A35" s="56" t="s">
        <v>441</v>
      </c>
      <c r="B35" s="53">
        <v>9775</v>
      </c>
      <c r="C35" s="53"/>
      <c r="D35" s="53"/>
      <c r="E35" s="53">
        <f t="shared" si="0"/>
        <v>9775</v>
      </c>
    </row>
    <row r="36" spans="1:5" s="59" customFormat="1" ht="24" x14ac:dyDescent="0.2">
      <c r="A36" s="49" t="s">
        <v>644</v>
      </c>
      <c r="B36" s="53">
        <v>11678</v>
      </c>
      <c r="C36" s="53"/>
      <c r="D36" s="53"/>
      <c r="E36" s="53">
        <f t="shared" si="0"/>
        <v>11678</v>
      </c>
    </row>
    <row r="37" spans="1:5" s="59" customFormat="1" x14ac:dyDescent="0.2">
      <c r="A37" s="49" t="s">
        <v>759</v>
      </c>
      <c r="B37" s="53"/>
      <c r="C37" s="53">
        <v>529</v>
      </c>
      <c r="D37" s="53"/>
      <c r="E37" s="53">
        <f t="shared" si="0"/>
        <v>529</v>
      </c>
    </row>
    <row r="38" spans="1:5" s="59" customFormat="1" x14ac:dyDescent="0.2">
      <c r="A38" s="49"/>
      <c r="B38" s="53"/>
      <c r="C38" s="53"/>
      <c r="D38" s="53"/>
      <c r="E38" s="53">
        <f t="shared" si="0"/>
        <v>0</v>
      </c>
    </row>
    <row r="39" spans="1:5" s="59" customFormat="1" x14ac:dyDescent="0.2">
      <c r="A39" s="74" t="s">
        <v>178</v>
      </c>
      <c r="B39" s="53"/>
      <c r="C39" s="53"/>
      <c r="D39" s="53">
        <f>D40+D41</f>
        <v>14938</v>
      </c>
      <c r="E39" s="53">
        <f t="shared" si="0"/>
        <v>14938</v>
      </c>
    </row>
    <row r="40" spans="1:5" s="59" customFormat="1" ht="36" x14ac:dyDescent="0.2">
      <c r="A40" s="49" t="s">
        <v>856</v>
      </c>
      <c r="B40" s="53"/>
      <c r="C40" s="53"/>
      <c r="D40" s="53">
        <v>9388</v>
      </c>
      <c r="E40" s="53">
        <f t="shared" si="0"/>
        <v>9388</v>
      </c>
    </row>
    <row r="41" spans="1:5" s="59" customFormat="1" x14ac:dyDescent="0.2">
      <c r="A41" s="380" t="s">
        <v>850</v>
      </c>
      <c r="B41" s="53"/>
      <c r="C41" s="53"/>
      <c r="D41" s="53">
        <v>5550</v>
      </c>
      <c r="E41" s="53">
        <f t="shared" si="0"/>
        <v>5550</v>
      </c>
    </row>
    <row r="42" spans="1:5" s="59" customFormat="1" x14ac:dyDescent="0.2">
      <c r="A42" s="49"/>
      <c r="B42" s="50"/>
      <c r="C42" s="50"/>
      <c r="D42" s="50"/>
      <c r="E42" s="50">
        <f t="shared" si="0"/>
        <v>0</v>
      </c>
    </row>
    <row r="43" spans="1:5" s="59" customFormat="1" x14ac:dyDescent="0.2">
      <c r="A43" s="74" t="s">
        <v>226</v>
      </c>
      <c r="B43" s="248">
        <f>B44</f>
        <v>44600</v>
      </c>
      <c r="C43" s="248"/>
      <c r="D43" s="248"/>
      <c r="E43" s="248">
        <f t="shared" si="0"/>
        <v>44600</v>
      </c>
    </row>
    <row r="44" spans="1:5" s="59" customFormat="1" x14ac:dyDescent="0.2">
      <c r="A44" s="38" t="s">
        <v>439</v>
      </c>
      <c r="B44" s="53">
        <v>44600</v>
      </c>
      <c r="C44" s="53"/>
      <c r="D44" s="53"/>
      <c r="E44" s="53">
        <f t="shared" si="0"/>
        <v>44600</v>
      </c>
    </row>
    <row r="45" spans="1:5" s="59" customFormat="1" x14ac:dyDescent="0.2">
      <c r="A45" s="38"/>
      <c r="B45" s="53"/>
      <c r="C45" s="53"/>
      <c r="D45" s="53"/>
      <c r="E45" s="53">
        <f t="shared" si="0"/>
        <v>0</v>
      </c>
    </row>
    <row r="46" spans="1:5" s="59" customFormat="1" x14ac:dyDescent="0.2">
      <c r="A46" s="74" t="s">
        <v>168</v>
      </c>
      <c r="B46" s="53"/>
      <c r="C46" s="248">
        <f>C47</f>
        <v>20000</v>
      </c>
      <c r="D46" s="248"/>
      <c r="E46" s="53">
        <f t="shared" si="0"/>
        <v>20000</v>
      </c>
    </row>
    <row r="47" spans="1:5" s="59" customFormat="1" ht="36" x14ac:dyDescent="0.2">
      <c r="A47" s="297" t="s">
        <v>760</v>
      </c>
      <c r="B47" s="53"/>
      <c r="C47" s="53">
        <v>20000</v>
      </c>
      <c r="D47" s="53"/>
      <c r="E47" s="53">
        <f t="shared" si="0"/>
        <v>20000</v>
      </c>
    </row>
    <row r="48" spans="1:5" s="59" customFormat="1" x14ac:dyDescent="0.2">
      <c r="A48" s="37"/>
      <c r="B48" s="53"/>
      <c r="C48" s="53"/>
      <c r="D48" s="53"/>
      <c r="E48" s="53">
        <f t="shared" si="0"/>
        <v>0</v>
      </c>
    </row>
    <row r="49" spans="1:5" s="59" customFormat="1" x14ac:dyDescent="0.2">
      <c r="A49" s="74" t="s">
        <v>19</v>
      </c>
      <c r="B49" s="53">
        <f>B50</f>
        <v>14070</v>
      </c>
      <c r="C49" s="53"/>
      <c r="D49" s="53"/>
      <c r="E49" s="53">
        <f t="shared" si="0"/>
        <v>14070</v>
      </c>
    </row>
    <row r="50" spans="1:5" s="59" customFormat="1" ht="24" x14ac:dyDescent="0.2">
      <c r="A50" s="75" t="s">
        <v>594</v>
      </c>
      <c r="B50" s="53">
        <v>14070</v>
      </c>
      <c r="C50" s="53"/>
      <c r="D50" s="53"/>
      <c r="E50" s="53">
        <f t="shared" si="0"/>
        <v>14070</v>
      </c>
    </row>
    <row r="51" spans="1:5" s="59" customFormat="1" x14ac:dyDescent="0.2">
      <c r="A51" s="51"/>
      <c r="B51" s="73"/>
      <c r="C51" s="73"/>
      <c r="D51" s="73"/>
      <c r="E51" s="73">
        <f t="shared" si="0"/>
        <v>0</v>
      </c>
    </row>
    <row r="52" spans="1:5" s="59" customFormat="1" x14ac:dyDescent="0.2">
      <c r="A52" s="74" t="s">
        <v>174</v>
      </c>
      <c r="B52" s="73">
        <f>SUM(B53:B53)</f>
        <v>31055</v>
      </c>
      <c r="C52" s="73">
        <f>C53+C54</f>
        <v>23775</v>
      </c>
      <c r="D52" s="73"/>
      <c r="E52" s="73">
        <f t="shared" si="0"/>
        <v>54830</v>
      </c>
    </row>
    <row r="53" spans="1:5" s="59" customFormat="1" x14ac:dyDescent="0.2">
      <c r="A53" s="61" t="s">
        <v>388</v>
      </c>
      <c r="B53" s="53">
        <v>31055</v>
      </c>
      <c r="C53" s="53"/>
      <c r="D53" s="53"/>
      <c r="E53" s="53">
        <f t="shared" si="0"/>
        <v>31055</v>
      </c>
    </row>
    <row r="54" spans="1:5" s="59" customFormat="1" x14ac:dyDescent="0.2">
      <c r="A54" s="61" t="s">
        <v>761</v>
      </c>
      <c r="B54" s="53"/>
      <c r="C54" s="53">
        <v>23775</v>
      </c>
      <c r="D54" s="53"/>
      <c r="E54" s="53">
        <f t="shared" si="0"/>
        <v>23775</v>
      </c>
    </row>
    <row r="55" spans="1:5" s="59" customFormat="1" x14ac:dyDescent="0.2">
      <c r="A55" s="61"/>
      <c r="B55" s="53"/>
      <c r="C55" s="53"/>
      <c r="D55" s="53"/>
      <c r="E55" s="53">
        <f t="shared" si="0"/>
        <v>0</v>
      </c>
    </row>
    <row r="56" spans="1:5" s="59" customFormat="1" x14ac:dyDescent="0.2">
      <c r="A56" s="52" t="s">
        <v>17</v>
      </c>
      <c r="B56" s="47">
        <f>B58</f>
        <v>467190</v>
      </c>
      <c r="C56" s="47">
        <f>C58</f>
        <v>525759</v>
      </c>
      <c r="D56" s="47"/>
      <c r="E56" s="47">
        <f t="shared" si="0"/>
        <v>992949</v>
      </c>
    </row>
    <row r="57" spans="1:5" x14ac:dyDescent="0.2">
      <c r="A57" s="52"/>
      <c r="B57" s="47"/>
      <c r="C57" s="47"/>
      <c r="D57" s="47"/>
      <c r="E57" s="47">
        <f t="shared" ref="E57:E64" si="1">SUM(B57:D57)</f>
        <v>0</v>
      </c>
    </row>
    <row r="58" spans="1:5" s="59" customFormat="1" x14ac:dyDescent="0.2">
      <c r="A58" s="74" t="s">
        <v>19</v>
      </c>
      <c r="B58" s="50">
        <f>B59</f>
        <v>467190</v>
      </c>
      <c r="C58" s="50">
        <f>SUM(C59:C62)</f>
        <v>525759</v>
      </c>
      <c r="D58" s="50"/>
      <c r="E58" s="50">
        <f t="shared" si="1"/>
        <v>992949</v>
      </c>
    </row>
    <row r="59" spans="1:5" s="59" customFormat="1" x14ac:dyDescent="0.2">
      <c r="A59" s="37" t="s">
        <v>660</v>
      </c>
      <c r="B59" s="50">
        <v>467190</v>
      </c>
      <c r="C59" s="50"/>
      <c r="D59" s="50"/>
      <c r="E59" s="50">
        <f t="shared" si="1"/>
        <v>467190</v>
      </c>
    </row>
    <row r="60" spans="1:5" s="59" customFormat="1" x14ac:dyDescent="0.2">
      <c r="A60" s="37" t="s">
        <v>762</v>
      </c>
      <c r="B60" s="50"/>
      <c r="C60" s="50">
        <v>197700</v>
      </c>
      <c r="D60" s="50"/>
      <c r="E60" s="50">
        <f t="shared" si="1"/>
        <v>197700</v>
      </c>
    </row>
    <row r="61" spans="1:5" s="59" customFormat="1" x14ac:dyDescent="0.2">
      <c r="A61" s="37" t="s">
        <v>763</v>
      </c>
      <c r="B61" s="50"/>
      <c r="C61" s="50">
        <v>56559</v>
      </c>
      <c r="D61" s="50"/>
      <c r="E61" s="50">
        <f t="shared" si="1"/>
        <v>56559</v>
      </c>
    </row>
    <row r="62" spans="1:5" s="59" customFormat="1" x14ac:dyDescent="0.2">
      <c r="A62" s="37" t="s">
        <v>764</v>
      </c>
      <c r="B62" s="50"/>
      <c r="C62" s="50">
        <v>271500</v>
      </c>
      <c r="D62" s="50"/>
      <c r="E62" s="50">
        <f t="shared" si="1"/>
        <v>271500</v>
      </c>
    </row>
    <row r="63" spans="1:5" x14ac:dyDescent="0.2">
      <c r="A63" s="14"/>
      <c r="B63" s="14"/>
      <c r="C63" s="14"/>
      <c r="D63" s="14"/>
      <c r="E63" s="14">
        <f t="shared" si="1"/>
        <v>0</v>
      </c>
    </row>
    <row r="64" spans="1:5" x14ac:dyDescent="0.2">
      <c r="A64" s="359" t="s">
        <v>835</v>
      </c>
      <c r="B64" s="48">
        <f>B5+B20+B25</f>
        <v>78937137</v>
      </c>
      <c r="C64" s="48">
        <f>C5+C20+C25</f>
        <v>1013102</v>
      </c>
      <c r="D64" s="48">
        <f>D5+D20+D25</f>
        <v>93714</v>
      </c>
      <c r="E64" s="48">
        <f t="shared" si="1"/>
        <v>80043953</v>
      </c>
    </row>
    <row r="65" spans="1:2" x14ac:dyDescent="0.2">
      <c r="A65" s="15"/>
      <c r="B65" s="7"/>
    </row>
  </sheetData>
  <mergeCells count="1">
    <mergeCell ref="B3:E3"/>
  </mergeCells>
  <phoneticPr fontId="29" type="noConversion"/>
  <pageMargins left="1.1811023622047245" right="0.47244094488188981" top="0.47244094488188981" bottom="0.98425196850393704" header="0.51181102362204722" footer="0.51181102362204722"/>
  <pageSetup paperSize="9" scale="75" orientation="portrait" r:id="rId1"/>
  <headerFooter alignWithMargins="0"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603"/>
  <sheetViews>
    <sheetView showZeros="0" zoomScaleNormal="100" zoomScaleSheetLayoutView="85" workbookViewId="0">
      <pane xSplit="3" ySplit="5" topLeftCell="D6" activePane="bottomRight" state="frozen"/>
      <selection activeCell="F136" sqref="F136"/>
      <selection pane="topRight" activeCell="F136" sqref="F136"/>
      <selection pane="bottomLeft" activeCell="F136" sqref="F136"/>
      <selection pane="bottomRight" activeCell="C1" sqref="C1"/>
    </sheetView>
  </sheetViews>
  <sheetFormatPr defaultColWidth="9.140625" defaultRowHeight="12.75" x14ac:dyDescent="0.2"/>
  <cols>
    <col min="1" max="1" width="3.28515625" style="6" hidden="1" customWidth="1"/>
    <col min="2" max="2" width="4.5703125" style="6" hidden="1" customWidth="1"/>
    <col min="3" max="3" width="38.42578125" style="20" customWidth="1"/>
    <col min="4" max="4" width="14.140625" style="401" customWidth="1"/>
    <col min="5" max="5" width="11.5703125" style="6" hidden="1" customWidth="1"/>
    <col min="6" max="6" width="11.42578125" style="62" hidden="1" customWidth="1"/>
    <col min="7" max="7" width="13.42578125" style="62" hidden="1" customWidth="1"/>
    <col min="8" max="8" width="14.85546875" style="401" customWidth="1"/>
    <col min="9" max="16384" width="9.140625" style="6"/>
  </cols>
  <sheetData>
    <row r="1" spans="1:8" ht="15" x14ac:dyDescent="0.25">
      <c r="C1" s="29" t="s">
        <v>180</v>
      </c>
    </row>
    <row r="2" spans="1:8" ht="15" x14ac:dyDescent="0.25">
      <c r="C2" s="29"/>
      <c r="H2" s="318" t="s">
        <v>145</v>
      </c>
    </row>
    <row r="3" spans="1:8" x14ac:dyDescent="0.2">
      <c r="C3" s="6"/>
      <c r="D3" s="647">
        <v>2015</v>
      </c>
      <c r="E3" s="648"/>
      <c r="F3" s="648"/>
      <c r="G3" s="648"/>
      <c r="H3" s="649"/>
    </row>
    <row r="4" spans="1:8" x14ac:dyDescent="0.2">
      <c r="D4" s="650" t="s">
        <v>863</v>
      </c>
      <c r="E4" s="645" t="s">
        <v>773</v>
      </c>
      <c r="F4" s="645" t="s">
        <v>672</v>
      </c>
      <c r="G4" s="645" t="s">
        <v>844</v>
      </c>
      <c r="H4" s="652" t="s">
        <v>862</v>
      </c>
    </row>
    <row r="5" spans="1:8" x14ac:dyDescent="0.2">
      <c r="C5" s="4"/>
      <c r="D5" s="651"/>
      <c r="E5" s="646"/>
      <c r="F5" s="646"/>
      <c r="G5" s="646" t="s">
        <v>845</v>
      </c>
      <c r="H5" s="653"/>
    </row>
    <row r="6" spans="1:8" ht="15.75" x14ac:dyDescent="0.2">
      <c r="C6" s="77" t="s">
        <v>42</v>
      </c>
      <c r="D6" s="407"/>
      <c r="E6" s="407"/>
      <c r="F6" s="407"/>
      <c r="G6" s="407"/>
      <c r="H6" s="407"/>
    </row>
    <row r="7" spans="1:8" x14ac:dyDescent="0.2">
      <c r="C7" s="78"/>
      <c r="D7" s="408"/>
      <c r="E7" s="408"/>
      <c r="F7" s="408"/>
      <c r="G7" s="408"/>
      <c r="H7" s="408"/>
    </row>
    <row r="8" spans="1:8" x14ac:dyDescent="0.2">
      <c r="C8" s="78" t="s">
        <v>182</v>
      </c>
      <c r="D8" s="408">
        <f>D14+D17+D20+D23</f>
        <v>2046763</v>
      </c>
      <c r="E8" s="408"/>
      <c r="F8" s="408">
        <f>F14+F17+F20+F23</f>
        <v>84966</v>
      </c>
      <c r="G8" s="408">
        <f>G14+G17+G20+G23</f>
        <v>-16370</v>
      </c>
      <c r="H8" s="408">
        <f>SUM(D8:G8)</f>
        <v>2115359</v>
      </c>
    </row>
    <row r="9" spans="1:8" x14ac:dyDescent="0.2">
      <c r="C9" s="79" t="s">
        <v>201</v>
      </c>
      <c r="D9" s="409">
        <v>30000</v>
      </c>
      <c r="E9" s="409"/>
      <c r="F9" s="409"/>
      <c r="G9" s="409"/>
      <c r="H9" s="409">
        <f t="shared" ref="H9:H72" si="0">SUM(D9:G9)</f>
        <v>30000</v>
      </c>
    </row>
    <row r="10" spans="1:8" x14ac:dyDescent="0.2">
      <c r="C10" s="81" t="s">
        <v>183</v>
      </c>
      <c r="D10" s="386">
        <f>D11+D12</f>
        <v>2046763</v>
      </c>
      <c r="E10" s="386"/>
      <c r="F10" s="386">
        <f>F11+F12</f>
        <v>84966</v>
      </c>
      <c r="G10" s="386">
        <f>G11+G12</f>
        <v>-16370</v>
      </c>
      <c r="H10" s="386">
        <f t="shared" si="0"/>
        <v>2115359</v>
      </c>
    </row>
    <row r="11" spans="1:8" x14ac:dyDescent="0.2">
      <c r="C11" s="79" t="s">
        <v>184</v>
      </c>
      <c r="D11" s="409">
        <f>'2.2 OMATULUD'!B5</f>
        <v>28586</v>
      </c>
      <c r="E11" s="409"/>
      <c r="F11" s="409">
        <v>-1039</v>
      </c>
      <c r="G11" s="409"/>
      <c r="H11" s="409">
        <f t="shared" si="0"/>
        <v>27547</v>
      </c>
    </row>
    <row r="12" spans="1:8" x14ac:dyDescent="0.2">
      <c r="C12" s="82" t="s">
        <v>185</v>
      </c>
      <c r="D12" s="409">
        <f>D8-D11</f>
        <v>2018177</v>
      </c>
      <c r="E12" s="409"/>
      <c r="F12" s="409">
        <f>F8-F11</f>
        <v>86005</v>
      </c>
      <c r="G12" s="409">
        <f>G8-G11</f>
        <v>-16370</v>
      </c>
      <c r="H12" s="409">
        <f t="shared" si="0"/>
        <v>2087812</v>
      </c>
    </row>
    <row r="13" spans="1:8" x14ac:dyDescent="0.2">
      <c r="C13" s="82"/>
      <c r="D13" s="409"/>
      <c r="E13" s="409"/>
      <c r="F13" s="409"/>
      <c r="G13" s="409"/>
      <c r="H13" s="409">
        <f t="shared" si="0"/>
        <v>0</v>
      </c>
    </row>
    <row r="14" spans="1:8" x14ac:dyDescent="0.2">
      <c r="A14" s="6" t="s">
        <v>676</v>
      </c>
      <c r="B14" s="6" t="s">
        <v>697</v>
      </c>
      <c r="C14" s="84" t="s">
        <v>42</v>
      </c>
      <c r="D14" s="406">
        <f>1145853+120616+23599+86-893-10988</f>
        <v>1278273</v>
      </c>
      <c r="E14" s="406"/>
      <c r="F14" s="406">
        <v>34961</v>
      </c>
      <c r="G14" s="406">
        <v>-1370</v>
      </c>
      <c r="H14" s="406">
        <f t="shared" si="0"/>
        <v>1311864</v>
      </c>
    </row>
    <row r="15" spans="1:8" x14ac:dyDescent="0.2">
      <c r="C15" s="85" t="s">
        <v>187</v>
      </c>
      <c r="D15" s="411">
        <f>667283+79408+17462-667-8200</f>
        <v>755286</v>
      </c>
      <c r="E15" s="411"/>
      <c r="F15" s="411">
        <v>10190</v>
      </c>
      <c r="G15" s="411">
        <v>-1024</v>
      </c>
      <c r="H15" s="411">
        <f t="shared" si="0"/>
        <v>764452</v>
      </c>
    </row>
    <row r="16" spans="1:8" x14ac:dyDescent="0.2">
      <c r="C16" s="87"/>
      <c r="D16" s="409"/>
      <c r="E16" s="409"/>
      <c r="F16" s="409"/>
      <c r="G16" s="409"/>
      <c r="H16" s="409">
        <f t="shared" si="0"/>
        <v>0</v>
      </c>
    </row>
    <row r="17" spans="1:8" x14ac:dyDescent="0.2">
      <c r="A17" s="6" t="s">
        <v>675</v>
      </c>
      <c r="B17" s="6" t="s">
        <v>697</v>
      </c>
      <c r="C17" s="84" t="s">
        <v>44</v>
      </c>
      <c r="D17" s="406">
        <f>706282+2220</f>
        <v>708502</v>
      </c>
      <c r="E17" s="406"/>
      <c r="F17" s="406">
        <v>50005</v>
      </c>
      <c r="G17" s="406"/>
      <c r="H17" s="406">
        <f t="shared" si="0"/>
        <v>758507</v>
      </c>
    </row>
    <row r="18" spans="1:8" x14ac:dyDescent="0.2">
      <c r="C18" s="85" t="s">
        <v>187</v>
      </c>
      <c r="D18" s="411">
        <f>501728+1657</f>
        <v>503385</v>
      </c>
      <c r="E18" s="411"/>
      <c r="F18" s="411">
        <v>46713</v>
      </c>
      <c r="G18" s="411"/>
      <c r="H18" s="411">
        <f t="shared" si="0"/>
        <v>550098</v>
      </c>
    </row>
    <row r="19" spans="1:8" x14ac:dyDescent="0.2">
      <c r="C19" s="70"/>
      <c r="D19" s="72"/>
      <c r="E19" s="72"/>
      <c r="F19" s="72"/>
      <c r="G19" s="72"/>
      <c r="H19" s="72">
        <f t="shared" si="0"/>
        <v>0</v>
      </c>
    </row>
    <row r="20" spans="1:8" x14ac:dyDescent="0.2">
      <c r="A20" s="6" t="s">
        <v>676</v>
      </c>
      <c r="B20" s="6" t="s">
        <v>697</v>
      </c>
      <c r="C20" s="88" t="s">
        <v>45</v>
      </c>
      <c r="D20" s="388">
        <v>49000</v>
      </c>
      <c r="E20" s="388"/>
      <c r="F20" s="388"/>
      <c r="G20" s="388">
        <v>-25100</v>
      </c>
      <c r="H20" s="388">
        <f t="shared" si="0"/>
        <v>23900</v>
      </c>
    </row>
    <row r="21" spans="1:8" x14ac:dyDescent="0.2">
      <c r="C21" s="85" t="s">
        <v>187</v>
      </c>
      <c r="D21" s="411">
        <v>18000</v>
      </c>
      <c r="E21" s="411"/>
      <c r="F21" s="411"/>
      <c r="G21" s="411">
        <v>-15550</v>
      </c>
      <c r="H21" s="411">
        <f t="shared" si="0"/>
        <v>2450</v>
      </c>
    </row>
    <row r="22" spans="1:8" x14ac:dyDescent="0.2">
      <c r="C22" s="85"/>
      <c r="D22" s="411"/>
      <c r="E22" s="411"/>
      <c r="F22" s="411"/>
      <c r="G22" s="411"/>
      <c r="H22" s="411">
        <f t="shared" si="0"/>
        <v>0</v>
      </c>
    </row>
    <row r="23" spans="1:8" x14ac:dyDescent="0.2">
      <c r="A23" s="6" t="s">
        <v>679</v>
      </c>
      <c r="B23" s="6" t="s">
        <v>697</v>
      </c>
      <c r="C23" s="88" t="s">
        <v>662</v>
      </c>
      <c r="D23" s="388">
        <v>10988</v>
      </c>
      <c r="E23" s="388"/>
      <c r="F23" s="388"/>
      <c r="G23" s="388">
        <v>10100</v>
      </c>
      <c r="H23" s="388">
        <f t="shared" si="0"/>
        <v>21088</v>
      </c>
    </row>
    <row r="24" spans="1:8" x14ac:dyDescent="0.2">
      <c r="C24" s="85" t="s">
        <v>187</v>
      </c>
      <c r="D24" s="411">
        <v>8200</v>
      </c>
      <c r="E24" s="411"/>
      <c r="F24" s="411"/>
      <c r="G24" s="411">
        <v>1630</v>
      </c>
      <c r="H24" s="411">
        <f t="shared" si="0"/>
        <v>9830</v>
      </c>
    </row>
    <row r="25" spans="1:8" x14ac:dyDescent="0.2">
      <c r="C25" s="85"/>
      <c r="D25" s="411"/>
      <c r="E25" s="411"/>
      <c r="F25" s="411"/>
      <c r="G25" s="411"/>
      <c r="H25" s="411">
        <f t="shared" si="0"/>
        <v>0</v>
      </c>
    </row>
    <row r="26" spans="1:8" x14ac:dyDescent="0.2">
      <c r="C26" s="4"/>
      <c r="D26" s="71"/>
      <c r="E26" s="71"/>
      <c r="F26" s="71"/>
      <c r="G26" s="71"/>
      <c r="H26" s="71">
        <f t="shared" si="0"/>
        <v>0</v>
      </c>
    </row>
    <row r="27" spans="1:8" ht="15.75" x14ac:dyDescent="0.2">
      <c r="C27" s="89" t="s">
        <v>181</v>
      </c>
      <c r="D27" s="412"/>
      <c r="E27" s="412"/>
      <c r="F27" s="412"/>
      <c r="G27" s="412"/>
      <c r="H27" s="412">
        <f t="shared" si="0"/>
        <v>0</v>
      </c>
    </row>
    <row r="28" spans="1:8" x14ac:dyDescent="0.2">
      <c r="C28" s="70"/>
      <c r="D28" s="72"/>
      <c r="E28" s="72"/>
      <c r="F28" s="72"/>
      <c r="G28" s="72"/>
      <c r="H28" s="72">
        <f t="shared" si="0"/>
        <v>0</v>
      </c>
    </row>
    <row r="29" spans="1:8" x14ac:dyDescent="0.2">
      <c r="C29" s="78" t="s">
        <v>182</v>
      </c>
      <c r="D29" s="408">
        <f>D36+D38+D40+D42+D44+D46+D49+D52+D55+D57+D59+D61+D64+D67+D73+D76+D80+D82+D85+D88+D100+D102+D107+D90</f>
        <v>19579126</v>
      </c>
      <c r="E29" s="408"/>
      <c r="F29" s="408">
        <f>F36+F38+F40+F42+F44+F46+F49+F52+F55+F57+F59+F61+F64+F67+F73+F76+F80+F82+F85+F88+F100+F102+F107</f>
        <v>309800</v>
      </c>
      <c r="G29" s="408">
        <f>G36+G38+G40+G42+G44+G46+G49+G52+G55+G57+G59+G61+G64+G67+G73+G76+G80+G82+G85+G88+G100+G102+G107</f>
        <v>-158452</v>
      </c>
      <c r="H29" s="408">
        <f t="shared" si="0"/>
        <v>19730474</v>
      </c>
    </row>
    <row r="30" spans="1:8" x14ac:dyDescent="0.2">
      <c r="C30" s="79" t="s">
        <v>201</v>
      </c>
      <c r="D30" s="409">
        <v>958675</v>
      </c>
      <c r="E30" s="409"/>
      <c r="F30" s="409"/>
      <c r="G30" s="409"/>
      <c r="H30" s="409">
        <f t="shared" si="0"/>
        <v>958675</v>
      </c>
    </row>
    <row r="31" spans="1:8" x14ac:dyDescent="0.2">
      <c r="C31" s="81" t="s">
        <v>183</v>
      </c>
      <c r="D31" s="386">
        <f>D32+D34+D33</f>
        <v>19579126</v>
      </c>
      <c r="E31" s="386"/>
      <c r="F31" s="386">
        <f>F32+F34+F33</f>
        <v>309800</v>
      </c>
      <c r="G31" s="386">
        <f>G32+G34+G33</f>
        <v>-158452</v>
      </c>
      <c r="H31" s="386">
        <f t="shared" si="0"/>
        <v>19730474</v>
      </c>
    </row>
    <row r="32" spans="1:8" x14ac:dyDescent="0.2">
      <c r="C32" s="79" t="s">
        <v>184</v>
      </c>
      <c r="D32" s="409">
        <f>'2.2 OMATULUD'!B10</f>
        <v>566497</v>
      </c>
      <c r="E32" s="409"/>
      <c r="F32" s="409">
        <f>'2.2 OMATULUD'!C10</f>
        <v>0</v>
      </c>
      <c r="G32" s="409"/>
      <c r="H32" s="409">
        <f t="shared" si="0"/>
        <v>566497</v>
      </c>
    </row>
    <row r="33" spans="1:8" x14ac:dyDescent="0.2">
      <c r="C33" s="82" t="s">
        <v>165</v>
      </c>
      <c r="D33" s="409">
        <f>'2.3 TOETUSED'!B28</f>
        <v>25914</v>
      </c>
      <c r="E33" s="409"/>
      <c r="F33" s="409"/>
      <c r="G33" s="409"/>
      <c r="H33" s="409">
        <f t="shared" si="0"/>
        <v>25914</v>
      </c>
    </row>
    <row r="34" spans="1:8" x14ac:dyDescent="0.2">
      <c r="C34" s="82" t="s">
        <v>185</v>
      </c>
      <c r="D34" s="409">
        <f>D29-D32-D33</f>
        <v>18986715</v>
      </c>
      <c r="E34" s="409"/>
      <c r="F34" s="409">
        <f>F29-F32-F33</f>
        <v>309800</v>
      </c>
      <c r="G34" s="409">
        <f>G29-G32-G33</f>
        <v>-158452</v>
      </c>
      <c r="H34" s="409">
        <f t="shared" si="0"/>
        <v>19138063</v>
      </c>
    </row>
    <row r="35" spans="1:8" x14ac:dyDescent="0.2">
      <c r="C35" s="70"/>
      <c r="D35" s="72"/>
      <c r="E35" s="72"/>
      <c r="F35" s="72"/>
      <c r="G35" s="72"/>
      <c r="H35" s="72">
        <f t="shared" si="0"/>
        <v>0</v>
      </c>
    </row>
    <row r="36" spans="1:8" x14ac:dyDescent="0.2">
      <c r="A36" s="6" t="s">
        <v>676</v>
      </c>
      <c r="B36" s="6" t="s">
        <v>181</v>
      </c>
      <c r="C36" s="90" t="s">
        <v>442</v>
      </c>
      <c r="D36" s="72">
        <f>3078455</f>
        <v>3078455</v>
      </c>
      <c r="E36" s="72"/>
      <c r="F36" s="72">
        <f>-96000-10169</f>
        <v>-106169</v>
      </c>
      <c r="G36" s="72">
        <v>-248324</v>
      </c>
      <c r="H36" s="72">
        <f t="shared" si="0"/>
        <v>2723962</v>
      </c>
    </row>
    <row r="37" spans="1:8" x14ac:dyDescent="0.2">
      <c r="C37" s="90"/>
      <c r="D37" s="72"/>
      <c r="E37" s="72"/>
      <c r="F37" s="72"/>
      <c r="G37" s="72"/>
      <c r="H37" s="72">
        <f t="shared" si="0"/>
        <v>0</v>
      </c>
    </row>
    <row r="38" spans="1:8" x14ac:dyDescent="0.2">
      <c r="A38" s="6" t="s">
        <v>676</v>
      </c>
      <c r="B38" s="6" t="s">
        <v>181</v>
      </c>
      <c r="C38" s="90" t="s">
        <v>443</v>
      </c>
      <c r="D38" s="72">
        <v>2150105</v>
      </c>
      <c r="E38" s="72"/>
      <c r="F38" s="72"/>
      <c r="G38" s="72"/>
      <c r="H38" s="72">
        <f t="shared" si="0"/>
        <v>2150105</v>
      </c>
    </row>
    <row r="39" spans="1:8" x14ac:dyDescent="0.2">
      <c r="C39" s="90"/>
      <c r="D39" s="72"/>
      <c r="E39" s="72"/>
      <c r="F39" s="72"/>
      <c r="G39" s="72"/>
      <c r="H39" s="72">
        <f t="shared" si="0"/>
        <v>0</v>
      </c>
    </row>
    <row r="40" spans="1:8" x14ac:dyDescent="0.2">
      <c r="A40" s="6" t="s">
        <v>676</v>
      </c>
      <c r="B40" s="6" t="s">
        <v>181</v>
      </c>
      <c r="C40" s="90" t="s">
        <v>497</v>
      </c>
      <c r="D40" s="72">
        <v>207910</v>
      </c>
      <c r="E40" s="72"/>
      <c r="F40" s="72"/>
      <c r="G40" s="72">
        <v>31000</v>
      </c>
      <c r="H40" s="72">
        <f t="shared" si="0"/>
        <v>238910</v>
      </c>
    </row>
    <row r="41" spans="1:8" x14ac:dyDescent="0.2">
      <c r="C41" s="305"/>
      <c r="D41" s="352"/>
      <c r="E41" s="352"/>
      <c r="F41" s="352"/>
      <c r="G41" s="352"/>
      <c r="H41" s="352">
        <f t="shared" si="0"/>
        <v>0</v>
      </c>
    </row>
    <row r="42" spans="1:8" x14ac:dyDescent="0.2">
      <c r="A42" s="6" t="s">
        <v>676</v>
      </c>
      <c r="B42" s="6" t="s">
        <v>181</v>
      </c>
      <c r="C42" s="90" t="s">
        <v>500</v>
      </c>
      <c r="D42" s="72">
        <v>214801</v>
      </c>
      <c r="E42" s="72"/>
      <c r="F42" s="72"/>
      <c r="G42" s="72"/>
      <c r="H42" s="72">
        <f t="shared" si="0"/>
        <v>214801</v>
      </c>
    </row>
    <row r="43" spans="1:8" x14ac:dyDescent="0.2">
      <c r="C43" s="90"/>
      <c r="D43" s="72"/>
      <c r="E43" s="72"/>
      <c r="F43" s="72"/>
      <c r="G43" s="72"/>
      <c r="H43" s="72">
        <f t="shared" si="0"/>
        <v>0</v>
      </c>
    </row>
    <row r="44" spans="1:8" x14ac:dyDescent="0.2">
      <c r="A44" s="6" t="s">
        <v>676</v>
      </c>
      <c r="B44" s="6" t="s">
        <v>181</v>
      </c>
      <c r="C44" s="90" t="s">
        <v>444</v>
      </c>
      <c r="D44" s="72">
        <v>2208784</v>
      </c>
      <c r="E44" s="72"/>
      <c r="F44" s="72">
        <v>-416654</v>
      </c>
      <c r="G44" s="72"/>
      <c r="H44" s="72">
        <f t="shared" si="0"/>
        <v>1792130</v>
      </c>
    </row>
    <row r="45" spans="1:8" x14ac:dyDescent="0.2">
      <c r="C45" s="90"/>
      <c r="D45" s="72"/>
      <c r="E45" s="72"/>
      <c r="F45" s="72"/>
      <c r="G45" s="72"/>
      <c r="H45" s="72">
        <f t="shared" si="0"/>
        <v>0</v>
      </c>
    </row>
    <row r="46" spans="1:8" x14ac:dyDescent="0.2">
      <c r="A46" s="6" t="s">
        <v>676</v>
      </c>
      <c r="B46" s="6" t="s">
        <v>181</v>
      </c>
      <c r="C46" s="90" t="s">
        <v>463</v>
      </c>
      <c r="D46" s="72">
        <v>1067407</v>
      </c>
      <c r="E46" s="72"/>
      <c r="F46" s="72">
        <f>100000+205000</f>
        <v>305000</v>
      </c>
      <c r="G46" s="72">
        <v>90000</v>
      </c>
      <c r="H46" s="72">
        <f t="shared" si="0"/>
        <v>1462407</v>
      </c>
    </row>
    <row r="47" spans="1:8" x14ac:dyDescent="0.2">
      <c r="C47" s="93" t="s">
        <v>187</v>
      </c>
      <c r="D47" s="411">
        <v>5000</v>
      </c>
      <c r="E47" s="411"/>
      <c r="F47" s="411"/>
      <c r="G47" s="411"/>
      <c r="H47" s="411">
        <f t="shared" si="0"/>
        <v>5000</v>
      </c>
    </row>
    <row r="48" spans="1:8" x14ac:dyDescent="0.2">
      <c r="C48" s="306"/>
      <c r="D48" s="413"/>
      <c r="E48" s="413"/>
      <c r="F48" s="413"/>
      <c r="G48" s="413"/>
      <c r="H48" s="413">
        <f t="shared" si="0"/>
        <v>0</v>
      </c>
    </row>
    <row r="49" spans="1:8" x14ac:dyDescent="0.2">
      <c r="A49" s="6" t="s">
        <v>675</v>
      </c>
      <c r="B49" s="6" t="s">
        <v>181</v>
      </c>
      <c r="C49" s="92" t="s">
        <v>617</v>
      </c>
      <c r="D49" s="388">
        <v>1310633</v>
      </c>
      <c r="E49" s="388"/>
      <c r="F49" s="388">
        <v>120019</v>
      </c>
      <c r="G49" s="388"/>
      <c r="H49" s="388">
        <f t="shared" si="0"/>
        <v>1430652</v>
      </c>
    </row>
    <row r="50" spans="1:8" x14ac:dyDescent="0.2">
      <c r="C50" s="93" t="s">
        <v>187</v>
      </c>
      <c r="D50" s="411">
        <v>922771</v>
      </c>
      <c r="E50" s="411"/>
      <c r="F50" s="411">
        <v>140050</v>
      </c>
      <c r="G50" s="411"/>
      <c r="H50" s="411">
        <f t="shared" si="0"/>
        <v>1062821</v>
      </c>
    </row>
    <row r="51" spans="1:8" x14ac:dyDescent="0.2">
      <c r="C51" s="94"/>
      <c r="D51" s="71"/>
      <c r="E51" s="71"/>
      <c r="F51" s="71"/>
      <c r="G51" s="71"/>
      <c r="H51" s="71">
        <f t="shared" si="0"/>
        <v>0</v>
      </c>
    </row>
    <row r="52" spans="1:8" ht="25.5" x14ac:dyDescent="0.2">
      <c r="A52" s="6" t="s">
        <v>676</v>
      </c>
      <c r="B52" s="6" t="s">
        <v>181</v>
      </c>
      <c r="C52" s="95" t="s">
        <v>618</v>
      </c>
      <c r="D52" s="414">
        <f>7557958-4198</f>
        <v>7553760</v>
      </c>
      <c r="E52" s="414"/>
      <c r="F52" s="414">
        <f>296635+10169</f>
        <v>306804</v>
      </c>
      <c r="G52" s="414">
        <v>8242</v>
      </c>
      <c r="H52" s="414">
        <f t="shared" si="0"/>
        <v>7868806</v>
      </c>
    </row>
    <row r="53" spans="1:8" x14ac:dyDescent="0.2">
      <c r="C53" s="93" t="s">
        <v>187</v>
      </c>
      <c r="D53" s="411">
        <f>5640267-3133</f>
        <v>5637134</v>
      </c>
      <c r="E53" s="411"/>
      <c r="F53" s="411">
        <f>221700+7600</f>
        <v>229300</v>
      </c>
      <c r="G53" s="411">
        <v>6160</v>
      </c>
      <c r="H53" s="411">
        <f t="shared" si="0"/>
        <v>5872594</v>
      </c>
    </row>
    <row r="54" spans="1:8" x14ac:dyDescent="0.2">
      <c r="C54" s="94"/>
      <c r="D54" s="71"/>
      <c r="E54" s="71"/>
      <c r="F54" s="71"/>
      <c r="G54" s="71"/>
      <c r="H54" s="71">
        <f t="shared" si="0"/>
        <v>0</v>
      </c>
    </row>
    <row r="55" spans="1:8" x14ac:dyDescent="0.2">
      <c r="A55" s="6" t="s">
        <v>676</v>
      </c>
      <c r="B55" s="6" t="s">
        <v>181</v>
      </c>
      <c r="C55" s="90" t="s">
        <v>188</v>
      </c>
      <c r="D55" s="72">
        <v>321590</v>
      </c>
      <c r="E55" s="72"/>
      <c r="F55" s="72"/>
      <c r="G55" s="72">
        <v>-765</v>
      </c>
      <c r="H55" s="72">
        <f t="shared" si="0"/>
        <v>320825</v>
      </c>
    </row>
    <row r="56" spans="1:8" x14ac:dyDescent="0.2">
      <c r="C56" s="98"/>
      <c r="D56" s="411"/>
      <c r="E56" s="411"/>
      <c r="F56" s="411"/>
      <c r="G56" s="411"/>
      <c r="H56" s="411">
        <f t="shared" si="0"/>
        <v>0</v>
      </c>
    </row>
    <row r="57" spans="1:8" x14ac:dyDescent="0.2">
      <c r="A57" s="6" t="s">
        <v>676</v>
      </c>
      <c r="B57" s="6" t="s">
        <v>181</v>
      </c>
      <c r="C57" s="92" t="s">
        <v>47</v>
      </c>
      <c r="D57" s="388">
        <v>228000</v>
      </c>
      <c r="E57" s="388"/>
      <c r="F57" s="388"/>
      <c r="G57" s="388"/>
      <c r="H57" s="388">
        <f t="shared" si="0"/>
        <v>228000</v>
      </c>
    </row>
    <row r="58" spans="1:8" x14ac:dyDescent="0.2">
      <c r="C58" s="99"/>
      <c r="D58" s="71"/>
      <c r="E58" s="71"/>
      <c r="F58" s="71"/>
      <c r="G58" s="71"/>
      <c r="H58" s="71">
        <f t="shared" si="0"/>
        <v>0</v>
      </c>
    </row>
    <row r="59" spans="1:8" x14ac:dyDescent="0.2">
      <c r="A59" s="6" t="s">
        <v>676</v>
      </c>
      <c r="B59" s="6" t="s">
        <v>181</v>
      </c>
      <c r="C59" s="90" t="s">
        <v>516</v>
      </c>
      <c r="D59" s="72">
        <v>215000</v>
      </c>
      <c r="E59" s="72"/>
      <c r="F59" s="72">
        <v>100800</v>
      </c>
      <c r="G59" s="72">
        <v>-8370</v>
      </c>
      <c r="H59" s="72">
        <f t="shared" si="0"/>
        <v>307430</v>
      </c>
    </row>
    <row r="60" spans="1:8" x14ac:dyDescent="0.2">
      <c r="C60" s="97"/>
      <c r="D60" s="414"/>
      <c r="E60" s="414"/>
      <c r="F60" s="414"/>
      <c r="G60" s="414"/>
      <c r="H60" s="414">
        <f t="shared" si="0"/>
        <v>0</v>
      </c>
    </row>
    <row r="61" spans="1:8" x14ac:dyDescent="0.2">
      <c r="A61" s="6" t="s">
        <v>676</v>
      </c>
      <c r="B61" s="6" t="s">
        <v>181</v>
      </c>
      <c r="C61" s="92" t="s">
        <v>399</v>
      </c>
      <c r="D61" s="388">
        <v>109000</v>
      </c>
      <c r="E61" s="388"/>
      <c r="F61" s="388"/>
      <c r="G61" s="388"/>
      <c r="H61" s="388">
        <f t="shared" si="0"/>
        <v>109000</v>
      </c>
    </row>
    <row r="62" spans="1:8" x14ac:dyDescent="0.2">
      <c r="C62" s="93" t="s">
        <v>187</v>
      </c>
      <c r="D62" s="411">
        <v>47800</v>
      </c>
      <c r="E62" s="411"/>
      <c r="F62" s="411"/>
      <c r="G62" s="411"/>
      <c r="H62" s="411">
        <f t="shared" si="0"/>
        <v>47800</v>
      </c>
    </row>
    <row r="63" spans="1:8" x14ac:dyDescent="0.2">
      <c r="C63" s="93"/>
      <c r="D63" s="411"/>
      <c r="E63" s="411"/>
      <c r="F63" s="411"/>
      <c r="G63" s="411"/>
      <c r="H63" s="411">
        <f t="shared" si="0"/>
        <v>0</v>
      </c>
    </row>
    <row r="64" spans="1:8" x14ac:dyDescent="0.2">
      <c r="A64" s="6" t="s">
        <v>676</v>
      </c>
      <c r="B64" s="6" t="s">
        <v>181</v>
      </c>
      <c r="C64" s="92" t="s">
        <v>400</v>
      </c>
      <c r="D64" s="388">
        <v>31000</v>
      </c>
      <c r="E64" s="388"/>
      <c r="F64" s="388"/>
      <c r="G64" s="388">
        <v>-31000</v>
      </c>
      <c r="H64" s="388">
        <f t="shared" si="0"/>
        <v>0</v>
      </c>
    </row>
    <row r="65" spans="1:8" x14ac:dyDescent="0.2">
      <c r="C65" s="93" t="s">
        <v>187</v>
      </c>
      <c r="D65" s="411">
        <v>10226</v>
      </c>
      <c r="E65" s="411"/>
      <c r="F65" s="411"/>
      <c r="G65" s="411">
        <v>-10226</v>
      </c>
      <c r="H65" s="411">
        <f t="shared" si="0"/>
        <v>0</v>
      </c>
    </row>
    <row r="66" spans="1:8" x14ac:dyDescent="0.2">
      <c r="C66" s="100"/>
      <c r="D66" s="72"/>
      <c r="E66" s="72"/>
      <c r="F66" s="72"/>
      <c r="G66" s="72"/>
      <c r="H66" s="72">
        <f t="shared" si="0"/>
        <v>0</v>
      </c>
    </row>
    <row r="67" spans="1:8" x14ac:dyDescent="0.2">
      <c r="A67" s="6" t="s">
        <v>676</v>
      </c>
      <c r="B67" s="6" t="s">
        <v>181</v>
      </c>
      <c r="C67" s="101" t="s">
        <v>48</v>
      </c>
      <c r="D67" s="406">
        <f>373470+4000-6000</f>
        <v>371470</v>
      </c>
      <c r="E67" s="406"/>
      <c r="F67" s="406"/>
      <c r="G67" s="406"/>
      <c r="H67" s="406">
        <f t="shared" si="0"/>
        <v>371470</v>
      </c>
    </row>
    <row r="68" spans="1:8" x14ac:dyDescent="0.2">
      <c r="C68" s="93" t="s">
        <v>187</v>
      </c>
      <c r="D68" s="411">
        <v>47760</v>
      </c>
      <c r="E68" s="411"/>
      <c r="F68" s="411"/>
      <c r="G68" s="411"/>
      <c r="H68" s="411">
        <f t="shared" si="0"/>
        <v>47760</v>
      </c>
    </row>
    <row r="69" spans="1:8" ht="36" x14ac:dyDescent="0.2">
      <c r="C69" s="102" t="s">
        <v>21</v>
      </c>
      <c r="D69" s="415">
        <v>16000</v>
      </c>
      <c r="E69" s="415"/>
      <c r="F69" s="415"/>
      <c r="G69" s="415"/>
      <c r="H69" s="415">
        <f t="shared" si="0"/>
        <v>16000</v>
      </c>
    </row>
    <row r="70" spans="1:8" x14ac:dyDescent="0.2">
      <c r="C70" s="98" t="s">
        <v>187</v>
      </c>
      <c r="D70" s="411">
        <v>11940</v>
      </c>
      <c r="E70" s="411"/>
      <c r="F70" s="411"/>
      <c r="G70" s="411"/>
      <c r="H70" s="411">
        <f t="shared" si="0"/>
        <v>11940</v>
      </c>
    </row>
    <row r="71" spans="1:8" ht="36" x14ac:dyDescent="0.2">
      <c r="C71" s="102" t="s">
        <v>665</v>
      </c>
      <c r="D71" s="415">
        <v>4000</v>
      </c>
      <c r="E71" s="415"/>
      <c r="F71" s="415"/>
      <c r="G71" s="415"/>
      <c r="H71" s="415">
        <f t="shared" si="0"/>
        <v>4000</v>
      </c>
    </row>
    <row r="72" spans="1:8" x14ac:dyDescent="0.2">
      <c r="C72" s="103"/>
      <c r="D72" s="411"/>
      <c r="E72" s="411"/>
      <c r="F72" s="411"/>
      <c r="G72" s="411"/>
      <c r="H72" s="411">
        <f t="shared" si="0"/>
        <v>0</v>
      </c>
    </row>
    <row r="73" spans="1:8" x14ac:dyDescent="0.2">
      <c r="A73" s="6" t="s">
        <v>676</v>
      </c>
      <c r="B73" s="6" t="s">
        <v>181</v>
      </c>
      <c r="C73" s="101" t="s">
        <v>470</v>
      </c>
      <c r="D73" s="406">
        <v>30000</v>
      </c>
      <c r="E73" s="406"/>
      <c r="F73" s="406"/>
      <c r="G73" s="406"/>
      <c r="H73" s="406">
        <f t="shared" ref="H73:H136" si="1">SUM(D73:G73)</f>
        <v>30000</v>
      </c>
    </row>
    <row r="74" spans="1:8" x14ac:dyDescent="0.2">
      <c r="C74" s="93" t="s">
        <v>187</v>
      </c>
      <c r="D74" s="411">
        <v>4000</v>
      </c>
      <c r="E74" s="411"/>
      <c r="F74" s="411"/>
      <c r="G74" s="411"/>
      <c r="H74" s="411">
        <f t="shared" si="1"/>
        <v>4000</v>
      </c>
    </row>
    <row r="75" spans="1:8" x14ac:dyDescent="0.2">
      <c r="C75" s="93"/>
      <c r="D75" s="411"/>
      <c r="E75" s="411"/>
      <c r="F75" s="411"/>
      <c r="G75" s="411"/>
      <c r="H75" s="411">
        <f t="shared" si="1"/>
        <v>0</v>
      </c>
    </row>
    <row r="76" spans="1:8" x14ac:dyDescent="0.2">
      <c r="A76" s="6" t="s">
        <v>676</v>
      </c>
      <c r="B76" s="6" t="s">
        <v>181</v>
      </c>
      <c r="C76" s="101" t="s">
        <v>595</v>
      </c>
      <c r="D76" s="406">
        <v>85000</v>
      </c>
      <c r="E76" s="406"/>
      <c r="F76" s="406"/>
      <c r="G76" s="406"/>
      <c r="H76" s="406">
        <f t="shared" si="1"/>
        <v>85000</v>
      </c>
    </row>
    <row r="77" spans="1:8" x14ac:dyDescent="0.2">
      <c r="C77" s="101"/>
      <c r="D77" s="406"/>
      <c r="E77" s="406"/>
      <c r="F77" s="406"/>
      <c r="G77" s="406"/>
      <c r="H77" s="406">
        <f t="shared" si="1"/>
        <v>0</v>
      </c>
    </row>
    <row r="78" spans="1:8" x14ac:dyDescent="0.2">
      <c r="C78" s="93" t="s">
        <v>596</v>
      </c>
      <c r="D78" s="411">
        <v>20000</v>
      </c>
      <c r="E78" s="411"/>
      <c r="F78" s="411"/>
      <c r="G78" s="411"/>
      <c r="H78" s="411">
        <f t="shared" si="1"/>
        <v>20000</v>
      </c>
    </row>
    <row r="79" spans="1:8" x14ac:dyDescent="0.2">
      <c r="C79" s="99"/>
      <c r="D79" s="71"/>
      <c r="E79" s="71"/>
      <c r="F79" s="71"/>
      <c r="G79" s="71"/>
      <c r="H79" s="71">
        <f t="shared" si="1"/>
        <v>0</v>
      </c>
    </row>
    <row r="80" spans="1:8" x14ac:dyDescent="0.2">
      <c r="A80" s="6" t="s">
        <v>677</v>
      </c>
      <c r="B80" s="6" t="s">
        <v>181</v>
      </c>
      <c r="C80" s="101" t="s">
        <v>49</v>
      </c>
      <c r="D80" s="406">
        <v>78600</v>
      </c>
      <c r="E80" s="406"/>
      <c r="F80" s="406"/>
      <c r="G80" s="406">
        <v>-14680</v>
      </c>
      <c r="H80" s="406">
        <f t="shared" si="1"/>
        <v>63920</v>
      </c>
    </row>
    <row r="81" spans="1:8" x14ac:dyDescent="0.2">
      <c r="C81" s="96"/>
      <c r="D81" s="72"/>
      <c r="E81" s="72"/>
      <c r="F81" s="72"/>
      <c r="G81" s="72"/>
      <c r="H81" s="72">
        <f t="shared" si="1"/>
        <v>0</v>
      </c>
    </row>
    <row r="82" spans="1:8" x14ac:dyDescent="0.2">
      <c r="A82" s="6" t="s">
        <v>677</v>
      </c>
      <c r="B82" s="6" t="s">
        <v>181</v>
      </c>
      <c r="C82" s="101" t="s">
        <v>50</v>
      </c>
      <c r="D82" s="406">
        <v>68385</v>
      </c>
      <c r="E82" s="406"/>
      <c r="F82" s="406"/>
      <c r="G82" s="406">
        <v>14680</v>
      </c>
      <c r="H82" s="406">
        <f t="shared" si="1"/>
        <v>83065</v>
      </c>
    </row>
    <row r="83" spans="1:8" x14ac:dyDescent="0.2">
      <c r="C83" s="93" t="s">
        <v>187</v>
      </c>
      <c r="D83" s="411">
        <v>1200</v>
      </c>
      <c r="E83" s="411"/>
      <c r="F83" s="411"/>
      <c r="G83" s="411"/>
      <c r="H83" s="411">
        <f t="shared" si="1"/>
        <v>1200</v>
      </c>
    </row>
    <row r="84" spans="1:8" x14ac:dyDescent="0.2">
      <c r="C84" s="96"/>
      <c r="D84" s="72"/>
      <c r="E84" s="72"/>
      <c r="F84" s="72"/>
      <c r="G84" s="72"/>
      <c r="H84" s="72">
        <f t="shared" si="1"/>
        <v>0</v>
      </c>
    </row>
    <row r="85" spans="1:8" x14ac:dyDescent="0.2">
      <c r="A85" s="6" t="s">
        <v>675</v>
      </c>
      <c r="B85" s="6" t="s">
        <v>181</v>
      </c>
      <c r="C85" s="90" t="s">
        <v>51</v>
      </c>
      <c r="D85" s="72">
        <f>26400+8712</f>
        <v>35112</v>
      </c>
      <c r="E85" s="72"/>
      <c r="F85" s="72">
        <v>0</v>
      </c>
      <c r="G85" s="72"/>
      <c r="H85" s="72">
        <f t="shared" si="1"/>
        <v>35112</v>
      </c>
    </row>
    <row r="86" spans="1:8" x14ac:dyDescent="0.2">
      <c r="C86" s="93" t="s">
        <v>187</v>
      </c>
      <c r="D86" s="411"/>
      <c r="E86" s="411"/>
      <c r="F86" s="411">
        <v>26400</v>
      </c>
      <c r="G86" s="411"/>
      <c r="H86" s="411">
        <f t="shared" si="1"/>
        <v>26400</v>
      </c>
    </row>
    <row r="87" spans="1:8" x14ac:dyDescent="0.2">
      <c r="C87" s="99"/>
      <c r="D87" s="71"/>
      <c r="E87" s="71"/>
      <c r="F87" s="71"/>
      <c r="G87" s="71"/>
      <c r="H87" s="71">
        <f t="shared" si="1"/>
        <v>0</v>
      </c>
    </row>
    <row r="88" spans="1:8" ht="25.5" x14ac:dyDescent="0.2">
      <c r="A88" s="6" t="s">
        <v>676</v>
      </c>
      <c r="B88" s="6" t="s">
        <v>181</v>
      </c>
      <c r="C88" s="95" t="s">
        <v>569</v>
      </c>
      <c r="D88" s="414">
        <f>55000+20000</f>
        <v>75000</v>
      </c>
      <c r="E88" s="414"/>
      <c r="F88" s="414"/>
      <c r="G88" s="414">
        <v>765</v>
      </c>
      <c r="H88" s="414">
        <f t="shared" si="1"/>
        <v>75765</v>
      </c>
    </row>
    <row r="89" spans="1:8" x14ac:dyDescent="0.2">
      <c r="C89" s="93"/>
      <c r="D89" s="411"/>
      <c r="E89" s="411"/>
      <c r="F89" s="411"/>
      <c r="G89" s="411"/>
      <c r="H89" s="411">
        <f t="shared" si="1"/>
        <v>0</v>
      </c>
    </row>
    <row r="90" spans="1:8" x14ac:dyDescent="0.2">
      <c r="A90" s="6" t="s">
        <v>678</v>
      </c>
      <c r="B90" s="6" t="s">
        <v>181</v>
      </c>
      <c r="C90" s="101" t="s">
        <v>456</v>
      </c>
      <c r="D90" s="406">
        <f>SUM(D91:D98)</f>
        <v>48110</v>
      </c>
      <c r="E90" s="406"/>
      <c r="F90" s="406"/>
      <c r="G90" s="406"/>
      <c r="H90" s="406">
        <f t="shared" si="1"/>
        <v>48110</v>
      </c>
    </row>
    <row r="91" spans="1:8" x14ac:dyDescent="0.2">
      <c r="C91" s="130" t="s">
        <v>563</v>
      </c>
      <c r="D91" s="410">
        <v>12800</v>
      </c>
      <c r="E91" s="410"/>
      <c r="F91" s="410"/>
      <c r="G91" s="410"/>
      <c r="H91" s="410">
        <f t="shared" si="1"/>
        <v>12800</v>
      </c>
    </row>
    <row r="92" spans="1:8" x14ac:dyDescent="0.2">
      <c r="C92" s="141" t="s">
        <v>401</v>
      </c>
      <c r="D92" s="416">
        <v>10000</v>
      </c>
      <c r="E92" s="416"/>
      <c r="F92" s="416"/>
      <c r="G92" s="416"/>
      <c r="H92" s="416">
        <f t="shared" si="1"/>
        <v>10000</v>
      </c>
    </row>
    <row r="93" spans="1:8" x14ac:dyDescent="0.2">
      <c r="C93" s="141" t="s">
        <v>564</v>
      </c>
      <c r="D93" s="416">
        <v>5760</v>
      </c>
      <c r="E93" s="416"/>
      <c r="F93" s="416"/>
      <c r="G93" s="416"/>
      <c r="H93" s="416">
        <f t="shared" si="1"/>
        <v>5760</v>
      </c>
    </row>
    <row r="94" spans="1:8" x14ac:dyDescent="0.2">
      <c r="C94" s="141" t="s">
        <v>765</v>
      </c>
      <c r="D94" s="416">
        <v>6400</v>
      </c>
      <c r="E94" s="416"/>
      <c r="F94" s="416"/>
      <c r="G94" s="416"/>
      <c r="H94" s="416">
        <f t="shared" si="1"/>
        <v>6400</v>
      </c>
    </row>
    <row r="95" spans="1:8" x14ac:dyDescent="0.2">
      <c r="C95" s="141" t="s">
        <v>562</v>
      </c>
      <c r="D95" s="416">
        <v>5750</v>
      </c>
      <c r="E95" s="416"/>
      <c r="F95" s="416"/>
      <c r="G95" s="416"/>
      <c r="H95" s="416">
        <f t="shared" si="1"/>
        <v>5750</v>
      </c>
    </row>
    <row r="96" spans="1:8" s="32" customFormat="1" ht="15" x14ac:dyDescent="0.2">
      <c r="A96" s="6"/>
      <c r="B96" s="6"/>
      <c r="C96" s="141" t="s">
        <v>406</v>
      </c>
      <c r="D96" s="416">
        <v>3200</v>
      </c>
      <c r="E96" s="416"/>
      <c r="F96" s="416"/>
      <c r="G96" s="416"/>
      <c r="H96" s="416">
        <f t="shared" si="1"/>
        <v>3200</v>
      </c>
    </row>
    <row r="97" spans="1:8" x14ac:dyDescent="0.2">
      <c r="C97" s="141" t="s">
        <v>661</v>
      </c>
      <c r="D97" s="416">
        <v>3200</v>
      </c>
      <c r="E97" s="416"/>
      <c r="F97" s="416"/>
      <c r="G97" s="416"/>
      <c r="H97" s="416">
        <f t="shared" si="1"/>
        <v>3200</v>
      </c>
    </row>
    <row r="98" spans="1:8" x14ac:dyDescent="0.2">
      <c r="C98" s="141" t="s">
        <v>565</v>
      </c>
      <c r="D98" s="416">
        <v>1000</v>
      </c>
      <c r="E98" s="416"/>
      <c r="F98" s="416"/>
      <c r="G98" s="416"/>
      <c r="H98" s="416">
        <f t="shared" si="1"/>
        <v>1000</v>
      </c>
    </row>
    <row r="99" spans="1:8" x14ac:dyDescent="0.2">
      <c r="C99" s="93"/>
      <c r="D99" s="411"/>
      <c r="E99" s="411"/>
      <c r="F99" s="411"/>
      <c r="G99" s="411"/>
      <c r="H99" s="411">
        <f t="shared" si="1"/>
        <v>0</v>
      </c>
    </row>
    <row r="100" spans="1:8" x14ac:dyDescent="0.2">
      <c r="A100" s="6" t="s">
        <v>676</v>
      </c>
      <c r="B100" s="6" t="s">
        <v>181</v>
      </c>
      <c r="C100" s="101" t="s">
        <v>619</v>
      </c>
      <c r="D100" s="406">
        <v>85000</v>
      </c>
      <c r="E100" s="406"/>
      <c r="F100" s="406"/>
      <c r="G100" s="406"/>
      <c r="H100" s="406">
        <f t="shared" si="1"/>
        <v>85000</v>
      </c>
    </row>
    <row r="101" spans="1:8" x14ac:dyDescent="0.2">
      <c r="C101" s="104"/>
      <c r="D101" s="417"/>
      <c r="E101" s="417"/>
      <c r="F101" s="417"/>
      <c r="G101" s="417"/>
      <c r="H101" s="417">
        <f t="shared" si="1"/>
        <v>0</v>
      </c>
    </row>
    <row r="102" spans="1:8" ht="38.25" x14ac:dyDescent="0.2">
      <c r="A102" s="6" t="s">
        <v>676</v>
      </c>
      <c r="B102" s="6" t="s">
        <v>181</v>
      </c>
      <c r="C102" s="104" t="s">
        <v>620</v>
      </c>
      <c r="D102" s="417">
        <v>5404</v>
      </c>
      <c r="E102" s="417"/>
      <c r="F102" s="417"/>
      <c r="G102" s="417"/>
      <c r="H102" s="417">
        <f t="shared" si="1"/>
        <v>5404</v>
      </c>
    </row>
    <row r="103" spans="1:8" x14ac:dyDescent="0.2">
      <c r="C103" s="93" t="s">
        <v>187</v>
      </c>
      <c r="D103" s="411">
        <v>1959</v>
      </c>
      <c r="E103" s="411"/>
      <c r="F103" s="411"/>
      <c r="G103" s="411"/>
      <c r="H103" s="411">
        <f t="shared" si="1"/>
        <v>1959</v>
      </c>
    </row>
    <row r="104" spans="1:8" x14ac:dyDescent="0.2">
      <c r="C104" s="249"/>
      <c r="D104" s="71"/>
      <c r="E104" s="71"/>
      <c r="F104" s="71"/>
      <c r="G104" s="71"/>
      <c r="H104" s="71">
        <f t="shared" si="1"/>
        <v>0</v>
      </c>
    </row>
    <row r="105" spans="1:8" x14ac:dyDescent="0.2">
      <c r="C105" s="93" t="s">
        <v>596</v>
      </c>
      <c r="D105" s="411">
        <v>5404</v>
      </c>
      <c r="E105" s="411"/>
      <c r="F105" s="411"/>
      <c r="G105" s="411"/>
      <c r="H105" s="411">
        <f t="shared" si="1"/>
        <v>5404</v>
      </c>
    </row>
    <row r="106" spans="1:8" x14ac:dyDescent="0.2">
      <c r="C106" s="199"/>
      <c r="D106" s="411"/>
      <c r="E106" s="411"/>
      <c r="F106" s="411"/>
      <c r="G106" s="411"/>
      <c r="H106" s="411">
        <f t="shared" si="1"/>
        <v>0</v>
      </c>
    </row>
    <row r="107" spans="1:8" ht="38.25" x14ac:dyDescent="0.2">
      <c r="A107" s="6" t="s">
        <v>676</v>
      </c>
      <c r="B107" s="6" t="s">
        <v>181</v>
      </c>
      <c r="C107" s="104" t="s">
        <v>597</v>
      </c>
      <c r="D107" s="417">
        <v>600</v>
      </c>
      <c r="E107" s="417"/>
      <c r="F107" s="417"/>
      <c r="G107" s="417"/>
      <c r="H107" s="417">
        <f t="shared" si="1"/>
        <v>600</v>
      </c>
    </row>
    <row r="108" spans="1:8" x14ac:dyDescent="0.2">
      <c r="C108" s="93" t="s">
        <v>187</v>
      </c>
      <c r="D108" s="411">
        <v>224</v>
      </c>
      <c r="E108" s="411"/>
      <c r="F108" s="411"/>
      <c r="G108" s="411"/>
      <c r="H108" s="411">
        <f t="shared" si="1"/>
        <v>224</v>
      </c>
    </row>
    <row r="109" spans="1:8" x14ac:dyDescent="0.2">
      <c r="C109" s="199"/>
      <c r="D109" s="411"/>
      <c r="E109" s="411"/>
      <c r="F109" s="411"/>
      <c r="G109" s="411"/>
      <c r="H109" s="411">
        <f t="shared" si="1"/>
        <v>0</v>
      </c>
    </row>
    <row r="110" spans="1:8" x14ac:dyDescent="0.2">
      <c r="C110" s="93" t="s">
        <v>596</v>
      </c>
      <c r="D110" s="411">
        <v>510</v>
      </c>
      <c r="E110" s="411"/>
      <c r="F110" s="411"/>
      <c r="G110" s="411"/>
      <c r="H110" s="411">
        <f t="shared" si="1"/>
        <v>510</v>
      </c>
    </row>
    <row r="111" spans="1:8" x14ac:dyDescent="0.2">
      <c r="C111" s="93"/>
      <c r="D111" s="411"/>
      <c r="E111" s="411"/>
      <c r="F111" s="411"/>
      <c r="G111" s="411"/>
      <c r="H111" s="411">
        <f t="shared" si="1"/>
        <v>0</v>
      </c>
    </row>
    <row r="112" spans="1:8" x14ac:dyDescent="0.2">
      <c r="B112" s="249"/>
      <c r="C112" s="282"/>
      <c r="D112" s="418"/>
      <c r="E112" s="418"/>
      <c r="F112" s="418"/>
      <c r="G112" s="418"/>
      <c r="H112" s="418">
        <f t="shared" si="1"/>
        <v>0</v>
      </c>
    </row>
    <row r="113" spans="1:8" ht="15.75" x14ac:dyDescent="0.2">
      <c r="C113" s="107" t="s">
        <v>169</v>
      </c>
      <c r="D113" s="412"/>
      <c r="E113" s="412"/>
      <c r="F113" s="412"/>
      <c r="G113" s="412"/>
      <c r="H113" s="412">
        <f t="shared" si="1"/>
        <v>0</v>
      </c>
    </row>
    <row r="114" spans="1:8" x14ac:dyDescent="0.2">
      <c r="C114" s="96"/>
      <c r="D114" s="72"/>
      <c r="E114" s="72"/>
      <c r="F114" s="72"/>
      <c r="G114" s="72"/>
      <c r="H114" s="72">
        <f t="shared" si="1"/>
        <v>0</v>
      </c>
    </row>
    <row r="115" spans="1:8" x14ac:dyDescent="0.2">
      <c r="C115" s="108" t="s">
        <v>182</v>
      </c>
      <c r="D115" s="408">
        <f>D121</f>
        <v>808985</v>
      </c>
      <c r="E115" s="408"/>
      <c r="F115" s="408">
        <f>F121</f>
        <v>0</v>
      </c>
      <c r="G115" s="408">
        <f>G121</f>
        <v>6500</v>
      </c>
      <c r="H115" s="408">
        <f t="shared" si="1"/>
        <v>815485</v>
      </c>
    </row>
    <row r="116" spans="1:8" x14ac:dyDescent="0.2">
      <c r="C116" s="79" t="s">
        <v>201</v>
      </c>
      <c r="D116" s="409">
        <v>75000</v>
      </c>
      <c r="E116" s="409"/>
      <c r="F116" s="409"/>
      <c r="G116" s="409"/>
      <c r="H116" s="409">
        <f t="shared" si="1"/>
        <v>75000</v>
      </c>
    </row>
    <row r="117" spans="1:8" x14ac:dyDescent="0.2">
      <c r="C117" s="109" t="s">
        <v>183</v>
      </c>
      <c r="D117" s="386">
        <f>D118+D119</f>
        <v>808985</v>
      </c>
      <c r="E117" s="386"/>
      <c r="F117" s="386">
        <f>F118+F119</f>
        <v>0</v>
      </c>
      <c r="G117" s="386">
        <f>G118+G119</f>
        <v>6500</v>
      </c>
      <c r="H117" s="386">
        <f t="shared" si="1"/>
        <v>815485</v>
      </c>
    </row>
    <row r="118" spans="1:8" x14ac:dyDescent="0.2">
      <c r="C118" s="110" t="s">
        <v>184</v>
      </c>
      <c r="D118" s="409">
        <f>'2.2 OMATULUD'!B18</f>
        <v>29500</v>
      </c>
      <c r="E118" s="409"/>
      <c r="F118" s="409"/>
      <c r="G118" s="409">
        <v>6500</v>
      </c>
      <c r="H118" s="409">
        <f t="shared" si="1"/>
        <v>36000</v>
      </c>
    </row>
    <row r="119" spans="1:8" x14ac:dyDescent="0.2">
      <c r="C119" s="111" t="s">
        <v>185</v>
      </c>
      <c r="D119" s="409">
        <f>D115-D118</f>
        <v>779485</v>
      </c>
      <c r="E119" s="409"/>
      <c r="F119" s="409">
        <f>F115-F118</f>
        <v>0</v>
      </c>
      <c r="G119" s="409"/>
      <c r="H119" s="409">
        <f t="shared" si="1"/>
        <v>779485</v>
      </c>
    </row>
    <row r="120" spans="1:8" x14ac:dyDescent="0.2">
      <c r="C120" s="96"/>
      <c r="D120" s="72"/>
      <c r="E120" s="72"/>
      <c r="F120" s="72"/>
      <c r="G120" s="72"/>
      <c r="H120" s="72">
        <f t="shared" si="1"/>
        <v>0</v>
      </c>
    </row>
    <row r="121" spans="1:8" x14ac:dyDescent="0.2">
      <c r="A121" s="6" t="s">
        <v>676</v>
      </c>
      <c r="B121" s="6" t="s">
        <v>169</v>
      </c>
      <c r="C121" s="112" t="s">
        <v>189</v>
      </c>
      <c r="D121" s="283">
        <v>808985</v>
      </c>
      <c r="E121" s="283"/>
      <c r="F121" s="283"/>
      <c r="G121" s="283">
        <v>6500</v>
      </c>
      <c r="H121" s="283">
        <f t="shared" si="1"/>
        <v>815485</v>
      </c>
    </row>
    <row r="122" spans="1:8" x14ac:dyDescent="0.2">
      <c r="C122" s="98" t="s">
        <v>187</v>
      </c>
      <c r="D122" s="411">
        <v>422985</v>
      </c>
      <c r="E122" s="411"/>
      <c r="F122" s="411">
        <f>35052+6960</f>
        <v>42012</v>
      </c>
      <c r="G122" s="411"/>
      <c r="H122" s="411">
        <f t="shared" si="1"/>
        <v>464997</v>
      </c>
    </row>
    <row r="123" spans="1:8" x14ac:dyDescent="0.2">
      <c r="C123" s="98"/>
      <c r="D123" s="411"/>
      <c r="E123" s="411"/>
      <c r="F123" s="411"/>
      <c r="G123" s="411"/>
      <c r="H123" s="411">
        <f t="shared" si="1"/>
        <v>0</v>
      </c>
    </row>
    <row r="124" spans="1:8" x14ac:dyDescent="0.2">
      <c r="C124" s="98" t="s">
        <v>871</v>
      </c>
      <c r="D124" s="411"/>
      <c r="E124" s="411"/>
      <c r="F124" s="411"/>
      <c r="G124" s="83">
        <v>46900</v>
      </c>
      <c r="H124" s="411">
        <f t="shared" si="1"/>
        <v>46900</v>
      </c>
    </row>
    <row r="125" spans="1:8" x14ac:dyDescent="0.2">
      <c r="C125" s="103" t="s">
        <v>187</v>
      </c>
      <c r="D125" s="411"/>
      <c r="E125" s="411"/>
      <c r="F125" s="411"/>
      <c r="G125" s="105">
        <v>35052</v>
      </c>
      <c r="H125" s="411">
        <f t="shared" si="1"/>
        <v>35052</v>
      </c>
    </row>
    <row r="126" spans="1:8" x14ac:dyDescent="0.2">
      <c r="C126" s="96"/>
      <c r="D126" s="72"/>
      <c r="E126" s="72"/>
      <c r="F126" s="72"/>
      <c r="G126" s="72"/>
      <c r="H126" s="72">
        <f t="shared" si="1"/>
        <v>0</v>
      </c>
    </row>
    <row r="127" spans="1:8" ht="15.75" x14ac:dyDescent="0.2">
      <c r="C127" s="107" t="s">
        <v>190</v>
      </c>
      <c r="D127" s="412"/>
      <c r="E127" s="412"/>
      <c r="F127" s="412"/>
      <c r="G127" s="412"/>
      <c r="H127" s="412">
        <f t="shared" si="1"/>
        <v>0</v>
      </c>
    </row>
    <row r="128" spans="1:8" x14ac:dyDescent="0.2">
      <c r="C128" s="96"/>
      <c r="D128" s="72"/>
      <c r="E128" s="72"/>
      <c r="F128" s="72"/>
      <c r="G128" s="72"/>
      <c r="H128" s="72">
        <f t="shared" si="1"/>
        <v>0</v>
      </c>
    </row>
    <row r="129" spans="1:8" x14ac:dyDescent="0.2">
      <c r="C129" s="108" t="s">
        <v>182</v>
      </c>
      <c r="D129" s="408">
        <f>D135</f>
        <v>455281</v>
      </c>
      <c r="E129" s="408"/>
      <c r="F129" s="408">
        <f>F135</f>
        <v>0</v>
      </c>
      <c r="G129" s="408">
        <f>G135</f>
        <v>19530</v>
      </c>
      <c r="H129" s="408">
        <f t="shared" si="1"/>
        <v>474811</v>
      </c>
    </row>
    <row r="130" spans="1:8" x14ac:dyDescent="0.2">
      <c r="C130" s="79" t="s">
        <v>201</v>
      </c>
      <c r="D130" s="409">
        <v>60500</v>
      </c>
      <c r="E130" s="409"/>
      <c r="F130" s="409"/>
      <c r="G130" s="409"/>
      <c r="H130" s="409">
        <f t="shared" si="1"/>
        <v>60500</v>
      </c>
    </row>
    <row r="131" spans="1:8" x14ac:dyDescent="0.2">
      <c r="C131" s="109" t="s">
        <v>183</v>
      </c>
      <c r="D131" s="386">
        <f>D132+D133</f>
        <v>455281</v>
      </c>
      <c r="E131" s="386"/>
      <c r="F131" s="386">
        <f>F132+F133</f>
        <v>0</v>
      </c>
      <c r="G131" s="386">
        <f>G132+G133</f>
        <v>19530</v>
      </c>
      <c r="H131" s="386">
        <f t="shared" si="1"/>
        <v>474811</v>
      </c>
    </row>
    <row r="132" spans="1:8" x14ac:dyDescent="0.2">
      <c r="C132" s="110" t="s">
        <v>184</v>
      </c>
      <c r="D132" s="409">
        <f>'2.2 OMATULUD'!B25</f>
        <v>200147</v>
      </c>
      <c r="E132" s="409"/>
      <c r="F132" s="409"/>
      <c r="G132" s="409">
        <v>19530</v>
      </c>
      <c r="H132" s="409">
        <f t="shared" si="1"/>
        <v>219677</v>
      </c>
    </row>
    <row r="133" spans="1:8" x14ac:dyDescent="0.2">
      <c r="C133" s="111" t="s">
        <v>185</v>
      </c>
      <c r="D133" s="409">
        <f>D129-D132</f>
        <v>255134</v>
      </c>
      <c r="E133" s="409"/>
      <c r="F133" s="409">
        <f>F129-F132</f>
        <v>0</v>
      </c>
      <c r="G133" s="409"/>
      <c r="H133" s="409">
        <f t="shared" si="1"/>
        <v>255134</v>
      </c>
    </row>
    <row r="134" spans="1:8" x14ac:dyDescent="0.2">
      <c r="C134" s="96"/>
      <c r="D134" s="72"/>
      <c r="E134" s="72"/>
      <c r="F134" s="72"/>
      <c r="G134" s="72"/>
      <c r="H134" s="72">
        <f t="shared" si="1"/>
        <v>0</v>
      </c>
    </row>
    <row r="135" spans="1:8" x14ac:dyDescent="0.2">
      <c r="A135" s="6" t="s">
        <v>676</v>
      </c>
      <c r="B135" s="6" t="s">
        <v>190</v>
      </c>
      <c r="C135" s="112" t="s">
        <v>191</v>
      </c>
      <c r="D135" s="283">
        <f>399151+30000+26130</f>
        <v>455281</v>
      </c>
      <c r="E135" s="283"/>
      <c r="F135" s="283"/>
      <c r="G135" s="283">
        <v>19530</v>
      </c>
      <c r="H135" s="283">
        <f t="shared" si="1"/>
        <v>474811</v>
      </c>
    </row>
    <row r="136" spans="1:8" x14ac:dyDescent="0.2">
      <c r="C136" s="98" t="s">
        <v>187</v>
      </c>
      <c r="D136" s="411">
        <f>250960+11000</f>
        <v>261960</v>
      </c>
      <c r="E136" s="411"/>
      <c r="F136" s="411">
        <v>6960</v>
      </c>
      <c r="G136" s="411">
        <v>6290</v>
      </c>
      <c r="H136" s="411">
        <f t="shared" si="1"/>
        <v>275210</v>
      </c>
    </row>
    <row r="137" spans="1:8" x14ac:dyDescent="0.2">
      <c r="C137" s="116"/>
      <c r="D137" s="419"/>
      <c r="E137" s="419"/>
      <c r="F137" s="419"/>
      <c r="G137" s="419"/>
      <c r="H137" s="419">
        <f t="shared" ref="H137:H200" si="2">SUM(D137:G137)</f>
        <v>0</v>
      </c>
    </row>
    <row r="138" spans="1:8" x14ac:dyDescent="0.2">
      <c r="C138" s="113"/>
      <c r="D138" s="393"/>
      <c r="E138" s="393"/>
      <c r="F138" s="393"/>
      <c r="G138" s="393"/>
      <c r="H138" s="393">
        <f t="shared" si="2"/>
        <v>0</v>
      </c>
    </row>
    <row r="139" spans="1:8" ht="15.75" x14ac:dyDescent="0.2">
      <c r="C139" s="118" t="s">
        <v>192</v>
      </c>
      <c r="D139" s="407"/>
      <c r="E139" s="407"/>
      <c r="F139" s="407"/>
      <c r="G139" s="407"/>
      <c r="H139" s="407">
        <f t="shared" si="2"/>
        <v>0</v>
      </c>
    </row>
    <row r="140" spans="1:8" x14ac:dyDescent="0.2">
      <c r="C140" s="108"/>
      <c r="D140" s="408"/>
      <c r="E140" s="408"/>
      <c r="F140" s="408"/>
      <c r="G140" s="408"/>
      <c r="H140" s="408">
        <f t="shared" si="2"/>
        <v>0</v>
      </c>
    </row>
    <row r="141" spans="1:8" x14ac:dyDescent="0.2">
      <c r="C141" s="108" t="s">
        <v>182</v>
      </c>
      <c r="D141" s="408">
        <f>D148+D176</f>
        <v>114162852</v>
      </c>
      <c r="E141" s="408"/>
      <c r="F141" s="408">
        <f>F148+F176</f>
        <v>692046</v>
      </c>
      <c r="G141" s="408">
        <f>G148+G176</f>
        <v>2101841</v>
      </c>
      <c r="H141" s="408">
        <f t="shared" si="2"/>
        <v>116956739</v>
      </c>
    </row>
    <row r="142" spans="1:8" x14ac:dyDescent="0.2">
      <c r="C142" s="79" t="s">
        <v>201</v>
      </c>
      <c r="D142" s="409">
        <v>10324519</v>
      </c>
      <c r="E142" s="409"/>
      <c r="F142" s="409"/>
      <c r="G142" s="409">
        <v>90000</v>
      </c>
      <c r="H142" s="409">
        <f t="shared" si="2"/>
        <v>10414519</v>
      </c>
    </row>
    <row r="143" spans="1:8" x14ac:dyDescent="0.2">
      <c r="C143" s="81" t="s">
        <v>183</v>
      </c>
      <c r="D143" s="386">
        <f>SUM(D144:D146)</f>
        <v>114162852</v>
      </c>
      <c r="E143" s="386"/>
      <c r="F143" s="386">
        <f>SUM(F144:F146)</f>
        <v>692046</v>
      </c>
      <c r="G143" s="386">
        <f>SUM(G144:G146)</f>
        <v>2101841</v>
      </c>
      <c r="H143" s="386">
        <f t="shared" si="2"/>
        <v>116956739</v>
      </c>
    </row>
    <row r="144" spans="1:8" x14ac:dyDescent="0.2">
      <c r="C144" s="110" t="s">
        <v>184</v>
      </c>
      <c r="D144" s="409">
        <f>'2.2 OMATULUD'!B32</f>
        <v>26580454</v>
      </c>
      <c r="E144" s="409"/>
      <c r="F144" s="409">
        <f>'2.2 OMATULUD'!C32</f>
        <v>231847</v>
      </c>
      <c r="G144" s="409">
        <f>'2.2 OMATULUD'!D32</f>
        <v>272934</v>
      </c>
      <c r="H144" s="409">
        <f t="shared" si="2"/>
        <v>27085235</v>
      </c>
    </row>
    <row r="145" spans="1:8" x14ac:dyDescent="0.2">
      <c r="C145" s="82" t="s">
        <v>165</v>
      </c>
      <c r="D145" s="409">
        <f>D196+D201+D206</f>
        <v>27036</v>
      </c>
      <c r="E145" s="409">
        <f>E196+E201+E206</f>
        <v>0</v>
      </c>
      <c r="F145" s="409">
        <f>F196+F201+F206+F211</f>
        <v>4117</v>
      </c>
      <c r="G145" s="409">
        <f>G196+G201+G206+G211</f>
        <v>0</v>
      </c>
      <c r="H145" s="409">
        <f t="shared" si="2"/>
        <v>31153</v>
      </c>
    </row>
    <row r="146" spans="1:8" x14ac:dyDescent="0.2">
      <c r="C146" s="111" t="s">
        <v>185</v>
      </c>
      <c r="D146" s="409">
        <f>D141-D144-D145</f>
        <v>87555362</v>
      </c>
      <c r="E146" s="409"/>
      <c r="F146" s="409">
        <f>F141-F144-F145</f>
        <v>456082</v>
      </c>
      <c r="G146" s="409">
        <f>G141-G144-G145</f>
        <v>1828907</v>
      </c>
      <c r="H146" s="409">
        <f t="shared" si="2"/>
        <v>89840351</v>
      </c>
    </row>
    <row r="147" spans="1:8" x14ac:dyDescent="0.2">
      <c r="C147" s="192"/>
      <c r="D147" s="409"/>
      <c r="E147" s="409"/>
      <c r="F147" s="409"/>
      <c r="G147" s="409"/>
      <c r="H147" s="409">
        <f t="shared" si="2"/>
        <v>0</v>
      </c>
    </row>
    <row r="148" spans="1:8" ht="15" x14ac:dyDescent="0.2">
      <c r="A148" s="6" t="s">
        <v>678</v>
      </c>
      <c r="B148" s="6" t="s">
        <v>192</v>
      </c>
      <c r="C148" s="114" t="s">
        <v>193</v>
      </c>
      <c r="D148" s="384">
        <f t="shared" ref="D148:G149" si="3">D151+D155+D159+D162+D165</f>
        <v>109920126</v>
      </c>
      <c r="E148" s="384">
        <f t="shared" si="3"/>
        <v>0</v>
      </c>
      <c r="F148" s="384">
        <f t="shared" si="3"/>
        <v>674429</v>
      </c>
      <c r="G148" s="384">
        <f t="shared" si="3"/>
        <v>2109965</v>
      </c>
      <c r="H148" s="384">
        <f t="shared" si="2"/>
        <v>112704520</v>
      </c>
    </row>
    <row r="149" spans="1:8" x14ac:dyDescent="0.2">
      <c r="C149" s="98" t="s">
        <v>187</v>
      </c>
      <c r="D149" s="411">
        <f t="shared" si="3"/>
        <v>47652094</v>
      </c>
      <c r="E149" s="411">
        <f t="shared" si="3"/>
        <v>0</v>
      </c>
      <c r="F149" s="411">
        <f t="shared" si="3"/>
        <v>93401</v>
      </c>
      <c r="G149" s="411">
        <f t="shared" si="3"/>
        <v>1119989</v>
      </c>
      <c r="H149" s="411">
        <f t="shared" si="2"/>
        <v>48865484</v>
      </c>
    </row>
    <row r="150" spans="1:8" x14ac:dyDescent="0.2">
      <c r="C150" s="98"/>
      <c r="D150" s="411"/>
      <c r="E150" s="411"/>
      <c r="F150" s="411"/>
      <c r="G150" s="411"/>
      <c r="H150" s="411">
        <f t="shared" si="2"/>
        <v>0</v>
      </c>
    </row>
    <row r="151" spans="1:8" x14ac:dyDescent="0.2">
      <c r="C151" s="112" t="s">
        <v>501</v>
      </c>
      <c r="D151" s="283">
        <v>64146098</v>
      </c>
      <c r="E151" s="283"/>
      <c r="F151" s="283">
        <v>56494</v>
      </c>
      <c r="G151" s="283">
        <f>27250+8040-926+532+3504-40000+40000+20000+1278240</f>
        <v>1336640</v>
      </c>
      <c r="H151" s="283">
        <f t="shared" si="2"/>
        <v>65539232</v>
      </c>
    </row>
    <row r="152" spans="1:8" x14ac:dyDescent="0.2">
      <c r="C152" s="98" t="s">
        <v>187</v>
      </c>
      <c r="D152" s="411">
        <v>34326668</v>
      </c>
      <c r="E152" s="411"/>
      <c r="F152" s="411">
        <v>44113</v>
      </c>
      <c r="G152" s="411">
        <f>1530+782+10500-64250+955336</f>
        <v>903898</v>
      </c>
      <c r="H152" s="411">
        <f t="shared" si="2"/>
        <v>35274679</v>
      </c>
    </row>
    <row r="153" spans="1:8" x14ac:dyDescent="0.2">
      <c r="C153" s="287" t="s">
        <v>598</v>
      </c>
      <c r="D153" s="411">
        <v>173000</v>
      </c>
      <c r="E153" s="411"/>
      <c r="F153" s="411">
        <f>-28824+26000</f>
        <v>-2824</v>
      </c>
      <c r="G153" s="411">
        <v>-926</v>
      </c>
      <c r="H153" s="411">
        <f t="shared" si="2"/>
        <v>169250</v>
      </c>
    </row>
    <row r="154" spans="1:8" x14ac:dyDescent="0.2">
      <c r="C154" s="257"/>
      <c r="D154" s="411"/>
      <c r="E154" s="411"/>
      <c r="F154" s="411"/>
      <c r="G154" s="411"/>
      <c r="H154" s="411">
        <f t="shared" si="2"/>
        <v>0</v>
      </c>
    </row>
    <row r="155" spans="1:8" x14ac:dyDescent="0.2">
      <c r="C155" s="112" t="s">
        <v>502</v>
      </c>
      <c r="D155" s="283">
        <v>38555825</v>
      </c>
      <c r="E155" s="283"/>
      <c r="F155" s="283">
        <v>553622</v>
      </c>
      <c r="G155" s="283">
        <f>247776+79+67+1300+319270+74000+32361+60000</f>
        <v>734853</v>
      </c>
      <c r="H155" s="283">
        <f t="shared" si="2"/>
        <v>39844300</v>
      </c>
    </row>
    <row r="156" spans="1:8" x14ac:dyDescent="0.2">
      <c r="C156" s="98" t="s">
        <v>187</v>
      </c>
      <c r="D156" s="411">
        <v>9066867</v>
      </c>
      <c r="E156" s="411"/>
      <c r="F156" s="411">
        <v>50094</v>
      </c>
      <c r="G156" s="411">
        <f>111388+55306+24186</f>
        <v>190880</v>
      </c>
      <c r="H156" s="411">
        <f t="shared" si="2"/>
        <v>9307841</v>
      </c>
    </row>
    <row r="157" spans="1:8" x14ac:dyDescent="0.2">
      <c r="C157" s="287" t="s">
        <v>259</v>
      </c>
      <c r="D157" s="411">
        <v>4226105</v>
      </c>
      <c r="E157" s="411"/>
      <c r="F157" s="411"/>
      <c r="G157" s="411"/>
      <c r="H157" s="411">
        <f t="shared" si="2"/>
        <v>4226105</v>
      </c>
    </row>
    <row r="158" spans="1:8" x14ac:dyDescent="0.2">
      <c r="C158" s="98"/>
      <c r="D158" s="411"/>
      <c r="E158" s="411"/>
      <c r="F158" s="411"/>
      <c r="G158" s="411"/>
      <c r="H158" s="411">
        <f t="shared" si="2"/>
        <v>0</v>
      </c>
    </row>
    <row r="159" spans="1:8" x14ac:dyDescent="0.2">
      <c r="C159" s="112" t="s">
        <v>503</v>
      </c>
      <c r="D159" s="283">
        <v>424108</v>
      </c>
      <c r="E159" s="283"/>
      <c r="F159" s="283"/>
      <c r="G159" s="283">
        <f>-8721+53</f>
        <v>-8668</v>
      </c>
      <c r="H159" s="283">
        <f t="shared" si="2"/>
        <v>415440</v>
      </c>
    </row>
    <row r="160" spans="1:8" x14ac:dyDescent="0.2">
      <c r="C160" s="98" t="s">
        <v>187</v>
      </c>
      <c r="D160" s="411">
        <v>148978</v>
      </c>
      <c r="E160" s="411"/>
      <c r="F160" s="411"/>
      <c r="G160" s="411">
        <v>-12474</v>
      </c>
      <c r="H160" s="411">
        <f t="shared" si="2"/>
        <v>136504</v>
      </c>
    </row>
    <row r="161" spans="3:8" x14ac:dyDescent="0.2">
      <c r="C161" s="164"/>
      <c r="D161" s="419"/>
      <c r="E161" s="419"/>
      <c r="F161" s="419"/>
      <c r="G161" s="419"/>
      <c r="H161" s="419">
        <f t="shared" si="2"/>
        <v>0</v>
      </c>
    </row>
    <row r="162" spans="3:8" x14ac:dyDescent="0.2">
      <c r="C162" s="112" t="s">
        <v>504</v>
      </c>
      <c r="D162" s="283">
        <v>6316519</v>
      </c>
      <c r="E162" s="283"/>
      <c r="F162" s="283">
        <v>60613</v>
      </c>
      <c r="G162" s="283">
        <f>20174-15480+615+41325</f>
        <v>46634</v>
      </c>
      <c r="H162" s="283">
        <f t="shared" si="2"/>
        <v>6423766</v>
      </c>
    </row>
    <row r="163" spans="3:8" x14ac:dyDescent="0.2">
      <c r="C163" s="98" t="s">
        <v>187</v>
      </c>
      <c r="D163" s="411">
        <v>3893396</v>
      </c>
      <c r="E163" s="411"/>
      <c r="F163" s="411">
        <v>-4901</v>
      </c>
      <c r="G163" s="411">
        <f>6025+30886</f>
        <v>36911</v>
      </c>
      <c r="H163" s="411">
        <f t="shared" si="2"/>
        <v>3925406</v>
      </c>
    </row>
    <row r="164" spans="3:8" x14ac:dyDescent="0.2">
      <c r="C164" s="164"/>
      <c r="D164" s="419"/>
      <c r="E164" s="419"/>
      <c r="F164" s="419"/>
      <c r="G164" s="419"/>
      <c r="H164" s="419">
        <f t="shared" si="2"/>
        <v>0</v>
      </c>
    </row>
    <row r="165" spans="3:8" x14ac:dyDescent="0.2">
      <c r="C165" s="112" t="s">
        <v>195</v>
      </c>
      <c r="D165" s="283">
        <f>D169+D173</f>
        <v>477576</v>
      </c>
      <c r="E165" s="283">
        <f t="shared" ref="E165:G166" si="4">E169+E173</f>
        <v>0</v>
      </c>
      <c r="F165" s="283">
        <f t="shared" si="4"/>
        <v>3700</v>
      </c>
      <c r="G165" s="283">
        <f t="shared" si="4"/>
        <v>506</v>
      </c>
      <c r="H165" s="283">
        <f t="shared" si="2"/>
        <v>481782</v>
      </c>
    </row>
    <row r="166" spans="3:8" x14ac:dyDescent="0.2">
      <c r="C166" s="98" t="s">
        <v>187</v>
      </c>
      <c r="D166" s="411">
        <f>D170+D174</f>
        <v>216185</v>
      </c>
      <c r="E166" s="411">
        <f t="shared" si="4"/>
        <v>0</v>
      </c>
      <c r="F166" s="411">
        <f t="shared" si="4"/>
        <v>4095</v>
      </c>
      <c r="G166" s="411">
        <f t="shared" si="4"/>
        <v>774</v>
      </c>
      <c r="H166" s="411">
        <f t="shared" si="2"/>
        <v>221054</v>
      </c>
    </row>
    <row r="167" spans="3:8" x14ac:dyDescent="0.2">
      <c r="C167" s="98"/>
      <c r="D167" s="411"/>
      <c r="E167" s="411"/>
      <c r="F167" s="411"/>
      <c r="G167" s="411"/>
      <c r="H167" s="411">
        <f t="shared" si="2"/>
        <v>0</v>
      </c>
    </row>
    <row r="168" spans="3:8" x14ac:dyDescent="0.2">
      <c r="C168" s="115" t="s">
        <v>194</v>
      </c>
      <c r="D168" s="283"/>
      <c r="E168" s="283"/>
      <c r="F168" s="283"/>
      <c r="G168" s="283"/>
      <c r="H168" s="283">
        <f t="shared" si="2"/>
        <v>0</v>
      </c>
    </row>
    <row r="169" spans="3:8" x14ac:dyDescent="0.2">
      <c r="C169" s="116" t="s">
        <v>196</v>
      </c>
      <c r="D169" s="419">
        <f>146226+11850</f>
        <v>158076</v>
      </c>
      <c r="E169" s="419"/>
      <c r="F169" s="419">
        <v>-300</v>
      </c>
      <c r="G169" s="419">
        <f>-530+1036</f>
        <v>506</v>
      </c>
      <c r="H169" s="419">
        <f t="shared" si="2"/>
        <v>158282</v>
      </c>
    </row>
    <row r="170" spans="3:8" x14ac:dyDescent="0.2">
      <c r="C170" s="103" t="s">
        <v>187</v>
      </c>
      <c r="D170" s="411">
        <f>94304+8843</f>
        <v>103147</v>
      </c>
      <c r="E170" s="411"/>
      <c r="F170" s="411"/>
      <c r="G170" s="411">
        <v>774</v>
      </c>
      <c r="H170" s="411">
        <f t="shared" si="2"/>
        <v>103921</v>
      </c>
    </row>
    <row r="171" spans="3:8" x14ac:dyDescent="0.2">
      <c r="C171" s="151"/>
      <c r="D171" s="420"/>
      <c r="E171" s="420"/>
      <c r="F171" s="420"/>
      <c r="G171" s="420"/>
      <c r="H171" s="420">
        <f t="shared" si="2"/>
        <v>0</v>
      </c>
    </row>
    <row r="172" spans="3:8" x14ac:dyDescent="0.2">
      <c r="C172" s="115" t="s">
        <v>194</v>
      </c>
      <c r="D172" s="283"/>
      <c r="E172" s="283"/>
      <c r="F172" s="283"/>
      <c r="G172" s="283"/>
      <c r="H172" s="283">
        <f t="shared" si="2"/>
        <v>0</v>
      </c>
    </row>
    <row r="173" spans="3:8" x14ac:dyDescent="0.2">
      <c r="C173" s="116" t="s">
        <v>58</v>
      </c>
      <c r="D173" s="419">
        <v>319500</v>
      </c>
      <c r="E173" s="419"/>
      <c r="F173" s="419">
        <v>4000</v>
      </c>
      <c r="G173" s="419"/>
      <c r="H173" s="419">
        <f t="shared" si="2"/>
        <v>323500</v>
      </c>
    </row>
    <row r="174" spans="3:8" x14ac:dyDescent="0.2">
      <c r="C174" s="103" t="s">
        <v>187</v>
      </c>
      <c r="D174" s="411">
        <v>113038</v>
      </c>
      <c r="E174" s="411"/>
      <c r="F174" s="411">
        <v>4095</v>
      </c>
      <c r="G174" s="411"/>
      <c r="H174" s="411">
        <f t="shared" si="2"/>
        <v>117133</v>
      </c>
    </row>
    <row r="175" spans="3:8" x14ac:dyDescent="0.2">
      <c r="C175" s="264"/>
      <c r="D175" s="420"/>
      <c r="E175" s="420"/>
      <c r="F175" s="420"/>
      <c r="G175" s="420"/>
      <c r="H175" s="420">
        <f t="shared" si="2"/>
        <v>0</v>
      </c>
    </row>
    <row r="176" spans="3:8" x14ac:dyDescent="0.2">
      <c r="C176" s="108" t="s">
        <v>186</v>
      </c>
      <c r="D176" s="408">
        <f>D178+D181+D185+D198+D203+D187+D193+D189+D191</f>
        <v>4242726</v>
      </c>
      <c r="E176" s="408">
        <f>E178+E181+E185+E198+E203+E187+E193+E189+E191+E208</f>
        <v>0</v>
      </c>
      <c r="F176" s="408">
        <f>F178+F181+F185+F198+F203+F187+F193+F189+F191+F208</f>
        <v>17617</v>
      </c>
      <c r="G176" s="408">
        <f>G178+G181+G185+G198+G203+G187+G193+G189+G191+G208</f>
        <v>-8124</v>
      </c>
      <c r="H176" s="408">
        <f t="shared" si="2"/>
        <v>4252219</v>
      </c>
    </row>
    <row r="177" spans="1:8" x14ac:dyDescent="0.2">
      <c r="C177" s="108"/>
      <c r="D177" s="408"/>
      <c r="E177" s="408"/>
      <c r="F177" s="408"/>
      <c r="G177" s="408"/>
      <c r="H177" s="408">
        <f t="shared" si="2"/>
        <v>0</v>
      </c>
    </row>
    <row r="178" spans="1:8" x14ac:dyDescent="0.2">
      <c r="A178" s="6" t="s">
        <v>678</v>
      </c>
      <c r="B178" s="6" t="s">
        <v>192</v>
      </c>
      <c r="C178" s="92" t="s">
        <v>199</v>
      </c>
      <c r="D178" s="388">
        <f>3067925-325</f>
        <v>3067600</v>
      </c>
      <c r="E178" s="388"/>
      <c r="F178" s="388">
        <v>13500</v>
      </c>
      <c r="G178" s="388">
        <f>-6020-470+425-2059</f>
        <v>-8124</v>
      </c>
      <c r="H178" s="388">
        <f t="shared" si="2"/>
        <v>3072976</v>
      </c>
    </row>
    <row r="179" spans="1:8" x14ac:dyDescent="0.2">
      <c r="C179" s="93" t="s">
        <v>187</v>
      </c>
      <c r="D179" s="411">
        <f>1916706-243</f>
        <v>1916463</v>
      </c>
      <c r="E179" s="411"/>
      <c r="F179" s="411">
        <v>6380</v>
      </c>
      <c r="G179" s="411">
        <f>580-1539</f>
        <v>-959</v>
      </c>
      <c r="H179" s="411">
        <f t="shared" si="2"/>
        <v>1921884</v>
      </c>
    </row>
    <row r="180" spans="1:8" x14ac:dyDescent="0.2">
      <c r="C180" s="265"/>
      <c r="D180" s="388"/>
      <c r="E180" s="388"/>
      <c r="F180" s="388"/>
      <c r="G180" s="388"/>
      <c r="H180" s="388">
        <f t="shared" si="2"/>
        <v>0</v>
      </c>
    </row>
    <row r="181" spans="1:8" x14ac:dyDescent="0.2">
      <c r="A181" s="6" t="s">
        <v>678</v>
      </c>
      <c r="B181" s="6" t="s">
        <v>192</v>
      </c>
      <c r="C181" s="92" t="s">
        <v>197</v>
      </c>
      <c r="D181" s="388">
        <f>174100+14000</f>
        <v>188100</v>
      </c>
      <c r="E181" s="388"/>
      <c r="F181" s="388"/>
      <c r="G181" s="388"/>
      <c r="H181" s="388">
        <f t="shared" si="2"/>
        <v>188100</v>
      </c>
    </row>
    <row r="182" spans="1:8" x14ac:dyDescent="0.2">
      <c r="C182" s="93" t="s">
        <v>187</v>
      </c>
      <c r="D182" s="411">
        <v>10810</v>
      </c>
      <c r="E182" s="411"/>
      <c r="F182" s="411"/>
      <c r="G182" s="411"/>
      <c r="H182" s="411">
        <f t="shared" si="2"/>
        <v>10810</v>
      </c>
    </row>
    <row r="183" spans="1:8" x14ac:dyDescent="0.2">
      <c r="C183" s="98" t="s">
        <v>638</v>
      </c>
      <c r="D183" s="411">
        <v>14000</v>
      </c>
      <c r="E183" s="411"/>
      <c r="F183" s="411"/>
      <c r="G183" s="411"/>
      <c r="H183" s="411">
        <f t="shared" si="2"/>
        <v>14000</v>
      </c>
    </row>
    <row r="184" spans="1:8" x14ac:dyDescent="0.2">
      <c r="C184" s="103"/>
      <c r="D184" s="411"/>
      <c r="E184" s="411"/>
      <c r="F184" s="411"/>
      <c r="G184" s="411"/>
      <c r="H184" s="411">
        <f t="shared" si="2"/>
        <v>0</v>
      </c>
    </row>
    <row r="185" spans="1:8" x14ac:dyDescent="0.2">
      <c r="A185" s="6" t="s">
        <v>678</v>
      </c>
      <c r="B185" s="6" t="s">
        <v>192</v>
      </c>
      <c r="C185" s="92" t="s">
        <v>198</v>
      </c>
      <c r="D185" s="388">
        <f>1575590-700000</f>
        <v>875590</v>
      </c>
      <c r="E185" s="388"/>
      <c r="F185" s="388"/>
      <c r="G185" s="388"/>
      <c r="H185" s="388">
        <f t="shared" si="2"/>
        <v>875590</v>
      </c>
    </row>
    <row r="186" spans="1:8" x14ac:dyDescent="0.2">
      <c r="C186" s="141"/>
      <c r="D186" s="416"/>
      <c r="E186" s="416"/>
      <c r="F186" s="416"/>
      <c r="G186" s="416"/>
      <c r="H186" s="416">
        <f t="shared" si="2"/>
        <v>0</v>
      </c>
    </row>
    <row r="187" spans="1:8" x14ac:dyDescent="0.2">
      <c r="A187" s="6" t="s">
        <v>678</v>
      </c>
      <c r="B187" s="6" t="s">
        <v>192</v>
      </c>
      <c r="C187" s="101" t="s">
        <v>460</v>
      </c>
      <c r="D187" s="406">
        <v>18000</v>
      </c>
      <c r="E187" s="406"/>
      <c r="F187" s="406"/>
      <c r="G187" s="406"/>
      <c r="H187" s="406">
        <f t="shared" si="2"/>
        <v>18000</v>
      </c>
    </row>
    <row r="188" spans="1:8" x14ac:dyDescent="0.2">
      <c r="C188" s="101"/>
      <c r="D188" s="406"/>
      <c r="E188" s="406"/>
      <c r="F188" s="406"/>
      <c r="G188" s="406"/>
      <c r="H188" s="406">
        <f t="shared" si="2"/>
        <v>0</v>
      </c>
    </row>
    <row r="189" spans="1:8" x14ac:dyDescent="0.2">
      <c r="A189" s="6" t="s">
        <v>678</v>
      </c>
      <c r="B189" s="6" t="s">
        <v>192</v>
      </c>
      <c r="C189" s="101" t="s">
        <v>634</v>
      </c>
      <c r="D189" s="406">
        <v>60000</v>
      </c>
      <c r="E189" s="406"/>
      <c r="F189" s="406"/>
      <c r="G189" s="406"/>
      <c r="H189" s="406">
        <f t="shared" si="2"/>
        <v>60000</v>
      </c>
    </row>
    <row r="190" spans="1:8" x14ac:dyDescent="0.2">
      <c r="C190" s="93"/>
      <c r="D190" s="411"/>
      <c r="E190" s="411"/>
      <c r="F190" s="411"/>
      <c r="G190" s="411"/>
      <c r="H190" s="411">
        <f t="shared" si="2"/>
        <v>0</v>
      </c>
    </row>
    <row r="191" spans="1:8" x14ac:dyDescent="0.2">
      <c r="A191" s="6" t="s">
        <v>678</v>
      </c>
      <c r="B191" s="6" t="s">
        <v>192</v>
      </c>
      <c r="C191" s="101" t="s">
        <v>666</v>
      </c>
      <c r="D191" s="406">
        <v>6000</v>
      </c>
      <c r="E191" s="406"/>
      <c r="F191" s="406"/>
      <c r="G191" s="406"/>
      <c r="H191" s="406">
        <f t="shared" si="2"/>
        <v>6000</v>
      </c>
    </row>
    <row r="192" spans="1:8" x14ac:dyDescent="0.2">
      <c r="C192" s="93"/>
      <c r="D192" s="411"/>
      <c r="E192" s="411"/>
      <c r="F192" s="411"/>
      <c r="G192" s="411"/>
      <c r="H192" s="411">
        <f t="shared" si="2"/>
        <v>0</v>
      </c>
    </row>
    <row r="193" spans="1:8" ht="38.25" x14ac:dyDescent="0.2">
      <c r="A193" s="6" t="s">
        <v>678</v>
      </c>
      <c r="B193" s="6" t="s">
        <v>192</v>
      </c>
      <c r="C193" s="149" t="s">
        <v>457</v>
      </c>
      <c r="D193" s="391">
        <v>5583</v>
      </c>
      <c r="E193" s="391"/>
      <c r="F193" s="391">
        <v>3588</v>
      </c>
      <c r="G193" s="391"/>
      <c r="H193" s="391">
        <f t="shared" si="2"/>
        <v>9171</v>
      </c>
    </row>
    <row r="194" spans="1:8" x14ac:dyDescent="0.2">
      <c r="C194" s="93" t="s">
        <v>187</v>
      </c>
      <c r="D194" s="411">
        <v>169</v>
      </c>
      <c r="E194" s="411"/>
      <c r="F194" s="411">
        <v>-104</v>
      </c>
      <c r="G194" s="411"/>
      <c r="H194" s="411">
        <f t="shared" si="2"/>
        <v>65</v>
      </c>
    </row>
    <row r="195" spans="1:8" x14ac:dyDescent="0.2">
      <c r="C195" s="150"/>
      <c r="D195" s="421"/>
      <c r="E195" s="421"/>
      <c r="F195" s="421"/>
      <c r="G195" s="421"/>
      <c r="H195" s="421">
        <f t="shared" si="2"/>
        <v>0</v>
      </c>
    </row>
    <row r="196" spans="1:8" x14ac:dyDescent="0.2">
      <c r="C196" s="106" t="s">
        <v>200</v>
      </c>
      <c r="D196" s="415">
        <v>5583</v>
      </c>
      <c r="E196" s="415"/>
      <c r="F196" s="415">
        <v>3588</v>
      </c>
      <c r="G196" s="415"/>
      <c r="H196" s="415">
        <f t="shared" si="2"/>
        <v>9171</v>
      </c>
    </row>
    <row r="197" spans="1:8" x14ac:dyDescent="0.2">
      <c r="C197" s="106"/>
      <c r="D197" s="415"/>
      <c r="E197" s="415"/>
      <c r="F197" s="415"/>
      <c r="G197" s="415"/>
      <c r="H197" s="415">
        <f t="shared" si="2"/>
        <v>0</v>
      </c>
    </row>
    <row r="198" spans="1:8" ht="38.25" x14ac:dyDescent="0.2">
      <c r="A198" s="6" t="s">
        <v>678</v>
      </c>
      <c r="B198" s="6" t="s">
        <v>192</v>
      </c>
      <c r="C198" s="95" t="s">
        <v>458</v>
      </c>
      <c r="D198" s="414">
        <v>10175</v>
      </c>
      <c r="E198" s="414"/>
      <c r="F198" s="414"/>
      <c r="G198" s="414"/>
      <c r="H198" s="414">
        <f t="shared" si="2"/>
        <v>10175</v>
      </c>
    </row>
    <row r="199" spans="1:8" x14ac:dyDescent="0.2">
      <c r="C199" s="93" t="s">
        <v>187</v>
      </c>
      <c r="D199" s="411">
        <v>839</v>
      </c>
      <c r="E199" s="411"/>
      <c r="F199" s="411"/>
      <c r="G199" s="411"/>
      <c r="H199" s="411">
        <f t="shared" si="2"/>
        <v>839</v>
      </c>
    </row>
    <row r="200" spans="1:8" x14ac:dyDescent="0.2">
      <c r="C200" s="93"/>
      <c r="D200" s="411"/>
      <c r="E200" s="411"/>
      <c r="F200" s="411"/>
      <c r="G200" s="411"/>
      <c r="H200" s="411">
        <f t="shared" si="2"/>
        <v>0</v>
      </c>
    </row>
    <row r="201" spans="1:8" x14ac:dyDescent="0.2">
      <c r="C201" s="106" t="s">
        <v>200</v>
      </c>
      <c r="D201" s="415">
        <v>9775</v>
      </c>
      <c r="E201" s="415"/>
      <c r="F201" s="415"/>
      <c r="G201" s="415"/>
      <c r="H201" s="415">
        <f t="shared" ref="H201:H262" si="5">SUM(D201:G201)</f>
        <v>9775</v>
      </c>
    </row>
    <row r="202" spans="1:8" x14ac:dyDescent="0.2">
      <c r="C202" s="106"/>
      <c r="D202" s="415"/>
      <c r="E202" s="415"/>
      <c r="F202" s="415"/>
      <c r="G202" s="415"/>
      <c r="H202" s="415">
        <f t="shared" si="5"/>
        <v>0</v>
      </c>
    </row>
    <row r="203" spans="1:8" ht="38.25" x14ac:dyDescent="0.2">
      <c r="A203" s="6" t="s">
        <v>678</v>
      </c>
      <c r="B203" s="6" t="s">
        <v>192</v>
      </c>
      <c r="C203" s="95" t="s">
        <v>599</v>
      </c>
      <c r="D203" s="414">
        <v>11678</v>
      </c>
      <c r="E203" s="414"/>
      <c r="F203" s="414"/>
      <c r="G203" s="414"/>
      <c r="H203" s="414">
        <f t="shared" si="5"/>
        <v>11678</v>
      </c>
    </row>
    <row r="204" spans="1:8" x14ac:dyDescent="0.2">
      <c r="C204" s="93" t="s">
        <v>187</v>
      </c>
      <c r="D204" s="411">
        <v>169</v>
      </c>
      <c r="E204" s="411"/>
      <c r="F204" s="411"/>
      <c r="G204" s="411"/>
      <c r="H204" s="411">
        <f t="shared" si="5"/>
        <v>169</v>
      </c>
    </row>
    <row r="205" spans="1:8" x14ac:dyDescent="0.2">
      <c r="C205" s="93"/>
      <c r="D205" s="411"/>
      <c r="E205" s="411"/>
      <c r="F205" s="411"/>
      <c r="G205" s="411"/>
      <c r="H205" s="411">
        <f t="shared" si="5"/>
        <v>0</v>
      </c>
    </row>
    <row r="206" spans="1:8" x14ac:dyDescent="0.2">
      <c r="C206" s="106" t="s">
        <v>200</v>
      </c>
      <c r="D206" s="415">
        <v>11678</v>
      </c>
      <c r="E206" s="415"/>
      <c r="F206" s="415"/>
      <c r="G206" s="415"/>
      <c r="H206" s="415">
        <f t="shared" si="5"/>
        <v>11678</v>
      </c>
    </row>
    <row r="207" spans="1:8" x14ac:dyDescent="0.2">
      <c r="C207" s="106"/>
      <c r="D207" s="415"/>
      <c r="E207" s="415"/>
      <c r="F207" s="415"/>
      <c r="G207" s="415"/>
      <c r="H207" s="415">
        <f t="shared" si="5"/>
        <v>0</v>
      </c>
    </row>
    <row r="208" spans="1:8" ht="25.5" x14ac:dyDescent="0.2">
      <c r="A208" s="285" t="s">
        <v>678</v>
      </c>
      <c r="B208" s="285" t="s">
        <v>192</v>
      </c>
      <c r="C208" s="299" t="s">
        <v>766</v>
      </c>
      <c r="D208" s="405"/>
      <c r="E208" s="405"/>
      <c r="F208" s="405">
        <v>529</v>
      </c>
      <c r="G208" s="405"/>
      <c r="H208" s="405">
        <f t="shared" si="5"/>
        <v>529</v>
      </c>
    </row>
    <row r="209" spans="1:8" x14ac:dyDescent="0.2">
      <c r="C209" s="93" t="s">
        <v>187</v>
      </c>
      <c r="D209" s="411"/>
      <c r="E209" s="411"/>
      <c r="F209" s="411">
        <v>395</v>
      </c>
      <c r="G209" s="411"/>
      <c r="H209" s="411">
        <f t="shared" si="5"/>
        <v>395</v>
      </c>
    </row>
    <row r="210" spans="1:8" x14ac:dyDescent="0.2">
      <c r="C210" s="300"/>
      <c r="D210" s="422"/>
      <c r="E210" s="422"/>
      <c r="F210" s="422"/>
      <c r="G210" s="422"/>
      <c r="H210" s="422">
        <f t="shared" si="5"/>
        <v>0</v>
      </c>
    </row>
    <row r="211" spans="1:8" x14ac:dyDescent="0.2">
      <c r="C211" s="106" t="s">
        <v>200</v>
      </c>
      <c r="D211" s="415"/>
      <c r="E211" s="415"/>
      <c r="F211" s="415">
        <v>529</v>
      </c>
      <c r="G211" s="415"/>
      <c r="H211" s="415">
        <f t="shared" si="5"/>
        <v>529</v>
      </c>
    </row>
    <row r="212" spans="1:8" x14ac:dyDescent="0.2">
      <c r="C212" s="106"/>
      <c r="D212" s="415"/>
      <c r="E212" s="415"/>
      <c r="F212" s="415"/>
      <c r="G212" s="415"/>
      <c r="H212" s="415">
        <f t="shared" si="5"/>
        <v>0</v>
      </c>
    </row>
    <row r="213" spans="1:8" x14ac:dyDescent="0.2">
      <c r="C213" s="106"/>
      <c r="D213" s="415"/>
      <c r="E213" s="415"/>
      <c r="F213" s="415"/>
      <c r="G213" s="415"/>
      <c r="H213" s="415">
        <f t="shared" si="5"/>
        <v>0</v>
      </c>
    </row>
    <row r="214" spans="1:8" ht="15.75" x14ac:dyDescent="0.2">
      <c r="C214" s="118" t="s">
        <v>178</v>
      </c>
      <c r="D214" s="407"/>
      <c r="E214" s="407"/>
      <c r="F214" s="407"/>
      <c r="G214" s="407"/>
      <c r="H214" s="407">
        <f t="shared" si="5"/>
        <v>0</v>
      </c>
    </row>
    <row r="215" spans="1:8" ht="15" x14ac:dyDescent="0.2">
      <c r="C215" s="144"/>
      <c r="D215" s="423"/>
      <c r="E215" s="423"/>
      <c r="F215" s="423"/>
      <c r="G215" s="423"/>
      <c r="H215" s="423">
        <f t="shared" si="5"/>
        <v>0</v>
      </c>
    </row>
    <row r="216" spans="1:8" x14ac:dyDescent="0.2">
      <c r="C216" s="108" t="s">
        <v>182</v>
      </c>
      <c r="D216" s="408">
        <f>D223+D246</f>
        <v>16665643</v>
      </c>
      <c r="E216" s="408">
        <f>E223+E246</f>
        <v>208180</v>
      </c>
      <c r="F216" s="408">
        <f>F223+F246</f>
        <v>122770</v>
      </c>
      <c r="G216" s="408">
        <f>G223+G246</f>
        <v>-349107</v>
      </c>
      <c r="H216" s="408">
        <f t="shared" si="5"/>
        <v>16647486</v>
      </c>
    </row>
    <row r="217" spans="1:8" x14ac:dyDescent="0.2">
      <c r="C217" s="79" t="s">
        <v>201</v>
      </c>
      <c r="D217" s="409">
        <v>2685800</v>
      </c>
      <c r="E217" s="409"/>
      <c r="F217" s="409"/>
      <c r="G217" s="409"/>
      <c r="H217" s="409">
        <f t="shared" si="5"/>
        <v>2685800</v>
      </c>
    </row>
    <row r="218" spans="1:8" x14ac:dyDescent="0.2">
      <c r="C218" s="81" t="s">
        <v>183</v>
      </c>
      <c r="D218" s="386">
        <f>SUM(D219:D221)</f>
        <v>16665643</v>
      </c>
      <c r="E218" s="386">
        <f>SUM(E219:E221)</f>
        <v>208180</v>
      </c>
      <c r="F218" s="386">
        <f>SUM(F219:F221)</f>
        <v>122770</v>
      </c>
      <c r="G218" s="386">
        <f>SUM(G219:G221)</f>
        <v>-349107</v>
      </c>
      <c r="H218" s="386">
        <f t="shared" si="5"/>
        <v>16647486</v>
      </c>
    </row>
    <row r="219" spans="1:8" x14ac:dyDescent="0.2">
      <c r="C219" s="110" t="s">
        <v>184</v>
      </c>
      <c r="D219" s="409">
        <f>'2.2 OMATULUD'!B120</f>
        <v>4466800</v>
      </c>
      <c r="E219" s="409"/>
      <c r="F219" s="409">
        <f>'2.2 OMATULUD'!C120</f>
        <v>91700</v>
      </c>
      <c r="G219" s="409">
        <f>'2.2 OMATULUD'!D120</f>
        <v>440440</v>
      </c>
      <c r="H219" s="409">
        <f t="shared" si="5"/>
        <v>4998940</v>
      </c>
    </row>
    <row r="220" spans="1:8" x14ac:dyDescent="0.2">
      <c r="C220" s="111" t="s">
        <v>165</v>
      </c>
      <c r="D220" s="409"/>
      <c r="E220" s="409"/>
      <c r="F220" s="409"/>
      <c r="G220" s="409">
        <f>G314+G309</f>
        <v>14938</v>
      </c>
      <c r="H220" s="409">
        <f t="shared" si="5"/>
        <v>14938</v>
      </c>
    </row>
    <row r="221" spans="1:8" x14ac:dyDescent="0.2">
      <c r="C221" s="111" t="s">
        <v>185</v>
      </c>
      <c r="D221" s="409">
        <f>D216-D219</f>
        <v>12198843</v>
      </c>
      <c r="E221" s="409">
        <f>E216-E219</f>
        <v>208180</v>
      </c>
      <c r="F221" s="409">
        <f>F216-F219</f>
        <v>31070</v>
      </c>
      <c r="G221" s="409">
        <f>G216-G219-G220</f>
        <v>-804485</v>
      </c>
      <c r="H221" s="409">
        <f t="shared" si="5"/>
        <v>11633608</v>
      </c>
    </row>
    <row r="222" spans="1:8" x14ac:dyDescent="0.2">
      <c r="C222" s="111"/>
      <c r="D222" s="409"/>
      <c r="E222" s="409"/>
      <c r="F222" s="409"/>
      <c r="G222" s="409"/>
      <c r="H222" s="409">
        <f t="shared" si="5"/>
        <v>0</v>
      </c>
    </row>
    <row r="223" spans="1:8" ht="15" x14ac:dyDescent="0.2">
      <c r="A223" s="6" t="s">
        <v>679</v>
      </c>
      <c r="B223" s="6" t="s">
        <v>178</v>
      </c>
      <c r="C223" s="114" t="s">
        <v>202</v>
      </c>
      <c r="D223" s="384">
        <f t="shared" ref="D223:G224" si="6">D225+D228+D231+D234+D237+D240+D243</f>
        <v>12478070</v>
      </c>
      <c r="E223" s="384">
        <f t="shared" si="6"/>
        <v>208180</v>
      </c>
      <c r="F223" s="384">
        <f t="shared" si="6"/>
        <v>77080</v>
      </c>
      <c r="G223" s="384">
        <f t="shared" si="6"/>
        <v>379860</v>
      </c>
      <c r="H223" s="384">
        <f t="shared" si="5"/>
        <v>13143190</v>
      </c>
    </row>
    <row r="224" spans="1:8" x14ac:dyDescent="0.2">
      <c r="C224" s="98" t="s">
        <v>187</v>
      </c>
      <c r="D224" s="411">
        <f t="shared" si="6"/>
        <v>5873137</v>
      </c>
      <c r="E224" s="411">
        <f t="shared" si="6"/>
        <v>155590</v>
      </c>
      <c r="F224" s="411">
        <f t="shared" si="6"/>
        <v>16586</v>
      </c>
      <c r="G224" s="411">
        <f t="shared" si="6"/>
        <v>43080</v>
      </c>
      <c r="H224" s="411">
        <f t="shared" si="5"/>
        <v>6088393</v>
      </c>
    </row>
    <row r="225" spans="3:8" x14ac:dyDescent="0.2">
      <c r="C225" s="112" t="s">
        <v>774</v>
      </c>
      <c r="D225" s="283">
        <v>2405267</v>
      </c>
      <c r="E225" s="283">
        <v>84034</v>
      </c>
      <c r="F225" s="283">
        <v>16500</v>
      </c>
      <c r="G225" s="283">
        <f>4000+3000</f>
        <v>7000</v>
      </c>
      <c r="H225" s="283">
        <f t="shared" si="5"/>
        <v>2512801</v>
      </c>
    </row>
    <row r="226" spans="3:8" x14ac:dyDescent="0.2">
      <c r="C226" s="98" t="s">
        <v>187</v>
      </c>
      <c r="D226" s="411">
        <v>1221675</v>
      </c>
      <c r="E226" s="411">
        <v>62805</v>
      </c>
      <c r="F226" s="411"/>
      <c r="G226" s="411">
        <f>200</f>
        <v>200</v>
      </c>
      <c r="H226" s="411">
        <f t="shared" si="5"/>
        <v>1284680</v>
      </c>
    </row>
    <row r="227" spans="3:8" x14ac:dyDescent="0.2">
      <c r="C227" s="284"/>
      <c r="D227" s="424"/>
      <c r="E227" s="424"/>
      <c r="F227" s="424"/>
      <c r="G227" s="424"/>
      <c r="H227" s="424">
        <f t="shared" si="5"/>
        <v>0</v>
      </c>
    </row>
    <row r="228" spans="3:8" ht="24" x14ac:dyDescent="0.2">
      <c r="C228" s="127" t="s">
        <v>775</v>
      </c>
      <c r="D228" s="421">
        <v>814501</v>
      </c>
      <c r="E228" s="421">
        <v>22318</v>
      </c>
      <c r="F228" s="421">
        <v>-9090</v>
      </c>
      <c r="G228" s="421"/>
      <c r="H228" s="421">
        <f t="shared" si="5"/>
        <v>827729</v>
      </c>
    </row>
    <row r="229" spans="3:8" x14ac:dyDescent="0.2">
      <c r="C229" s="98" t="s">
        <v>187</v>
      </c>
      <c r="D229" s="411">
        <v>433365</v>
      </c>
      <c r="E229" s="411">
        <v>16680</v>
      </c>
      <c r="F229" s="411">
        <v>2000</v>
      </c>
      <c r="G229" s="411"/>
      <c r="H229" s="411">
        <f t="shared" si="5"/>
        <v>452045</v>
      </c>
    </row>
    <row r="230" spans="3:8" s="310" customFormat="1" x14ac:dyDescent="0.2">
      <c r="C230" s="307"/>
      <c r="D230" s="425"/>
      <c r="E230" s="425"/>
      <c r="F230" s="425"/>
      <c r="G230" s="425"/>
      <c r="H230" s="425">
        <f t="shared" si="5"/>
        <v>0</v>
      </c>
    </row>
    <row r="231" spans="3:8" x14ac:dyDescent="0.2">
      <c r="C231" s="112" t="s">
        <v>776</v>
      </c>
      <c r="D231" s="283">
        <v>1984586</v>
      </c>
      <c r="E231" s="283">
        <v>60912</v>
      </c>
      <c r="F231" s="283">
        <v>-46600</v>
      </c>
      <c r="G231" s="283">
        <v>-4480</v>
      </c>
      <c r="H231" s="283">
        <f t="shared" si="5"/>
        <v>1994418</v>
      </c>
    </row>
    <row r="232" spans="3:8" x14ac:dyDescent="0.2">
      <c r="C232" s="98" t="s">
        <v>187</v>
      </c>
      <c r="D232" s="411">
        <v>980814</v>
      </c>
      <c r="E232" s="411">
        <v>45525</v>
      </c>
      <c r="F232" s="411"/>
      <c r="G232" s="411"/>
      <c r="H232" s="411">
        <f t="shared" si="5"/>
        <v>1026339</v>
      </c>
    </row>
    <row r="233" spans="3:8" x14ac:dyDescent="0.2">
      <c r="C233" s="151"/>
      <c r="D233" s="420"/>
      <c r="E233" s="420"/>
      <c r="F233" s="420"/>
      <c r="G233" s="420"/>
      <c r="H233" s="420">
        <f t="shared" si="5"/>
        <v>0</v>
      </c>
    </row>
    <row r="234" spans="3:8" x14ac:dyDescent="0.2">
      <c r="C234" s="112" t="s">
        <v>777</v>
      </c>
      <c r="D234" s="283">
        <v>4547560</v>
      </c>
      <c r="E234" s="283"/>
      <c r="F234" s="283">
        <v>-43250</v>
      </c>
      <c r="G234" s="283">
        <f>186905+28900-2528-162+9540-30000</f>
        <v>192655</v>
      </c>
      <c r="H234" s="283">
        <f t="shared" si="5"/>
        <v>4696965</v>
      </c>
    </row>
    <row r="235" spans="3:8" x14ac:dyDescent="0.2">
      <c r="C235" s="98" t="s">
        <v>187</v>
      </c>
      <c r="D235" s="411">
        <v>1942485</v>
      </c>
      <c r="E235" s="411"/>
      <c r="F235" s="411">
        <v>0</v>
      </c>
      <c r="G235" s="411"/>
      <c r="H235" s="411">
        <f t="shared" si="5"/>
        <v>1942485</v>
      </c>
    </row>
    <row r="236" spans="3:8" x14ac:dyDescent="0.2">
      <c r="C236" s="308"/>
      <c r="D236" s="390"/>
      <c r="E236" s="390"/>
      <c r="F236" s="390"/>
      <c r="G236" s="390"/>
      <c r="H236" s="390">
        <f t="shared" si="5"/>
        <v>0</v>
      </c>
    </row>
    <row r="237" spans="3:8" x14ac:dyDescent="0.2">
      <c r="C237" s="112" t="s">
        <v>778</v>
      </c>
      <c r="D237" s="283">
        <v>1581121</v>
      </c>
      <c r="E237" s="283">
        <v>40916</v>
      </c>
      <c r="F237" s="283">
        <v>110000</v>
      </c>
      <c r="G237" s="283">
        <v>134000</v>
      </c>
      <c r="H237" s="283">
        <f t="shared" si="5"/>
        <v>1866037</v>
      </c>
    </row>
    <row r="238" spans="3:8" x14ac:dyDescent="0.2">
      <c r="C238" s="98" t="s">
        <v>187</v>
      </c>
      <c r="D238" s="411">
        <v>685550</v>
      </c>
      <c r="E238" s="411">
        <v>30580</v>
      </c>
      <c r="F238" s="411"/>
      <c r="G238" s="411">
        <v>32880</v>
      </c>
      <c r="H238" s="411">
        <f t="shared" si="5"/>
        <v>749010</v>
      </c>
    </row>
    <row r="239" spans="3:8" x14ac:dyDescent="0.2">
      <c r="C239" s="151"/>
      <c r="D239" s="420"/>
      <c r="E239" s="420"/>
      <c r="F239" s="420"/>
      <c r="G239" s="420"/>
      <c r="H239" s="420">
        <f t="shared" si="5"/>
        <v>0</v>
      </c>
    </row>
    <row r="240" spans="3:8" x14ac:dyDescent="0.2">
      <c r="C240" s="112" t="s">
        <v>779</v>
      </c>
      <c r="D240" s="283">
        <v>835935</v>
      </c>
      <c r="E240" s="283"/>
      <c r="F240" s="283">
        <v>49520</v>
      </c>
      <c r="G240" s="283">
        <f>23100+6900-12000+5685+27000</f>
        <v>50685</v>
      </c>
      <c r="H240" s="283">
        <f t="shared" si="5"/>
        <v>936140</v>
      </c>
    </row>
    <row r="241" spans="1:8" x14ac:dyDescent="0.2">
      <c r="C241" s="98" t="s">
        <v>187</v>
      </c>
      <c r="D241" s="411">
        <v>459414</v>
      </c>
      <c r="E241" s="411"/>
      <c r="F241" s="411">
        <v>14586</v>
      </c>
      <c r="G241" s="411">
        <v>10000</v>
      </c>
      <c r="H241" s="411">
        <f t="shared" si="5"/>
        <v>484000</v>
      </c>
    </row>
    <row r="242" spans="1:8" x14ac:dyDescent="0.2">
      <c r="C242" s="151"/>
      <c r="D242" s="420"/>
      <c r="E242" s="420"/>
      <c r="F242" s="420"/>
      <c r="G242" s="420"/>
      <c r="H242" s="420">
        <f t="shared" si="5"/>
        <v>0</v>
      </c>
    </row>
    <row r="243" spans="1:8" x14ac:dyDescent="0.2">
      <c r="C243" s="112" t="s">
        <v>780</v>
      </c>
      <c r="D243" s="283">
        <v>309100</v>
      </c>
      <c r="E243" s="283"/>
      <c r="F243" s="283"/>
      <c r="G243" s="283"/>
      <c r="H243" s="283">
        <f t="shared" si="5"/>
        <v>309100</v>
      </c>
    </row>
    <row r="244" spans="1:8" x14ac:dyDescent="0.2">
      <c r="C244" s="98" t="s">
        <v>187</v>
      </c>
      <c r="D244" s="411">
        <v>149834</v>
      </c>
      <c r="E244" s="411"/>
      <c r="F244" s="411"/>
      <c r="G244" s="411"/>
      <c r="H244" s="411">
        <f t="shared" si="5"/>
        <v>149834</v>
      </c>
    </row>
    <row r="245" spans="1:8" x14ac:dyDescent="0.2">
      <c r="C245" s="151"/>
      <c r="D245" s="420"/>
      <c r="E245" s="420"/>
      <c r="F245" s="420"/>
      <c r="G245" s="420"/>
      <c r="H245" s="420">
        <f t="shared" si="5"/>
        <v>0</v>
      </c>
    </row>
    <row r="246" spans="1:8" x14ac:dyDescent="0.2">
      <c r="C246" s="108" t="s">
        <v>186</v>
      </c>
      <c r="D246" s="408">
        <f>D248+D251+D253+D255+D275+D293+D295+D297+D299+D301+D303</f>
        <v>4187573</v>
      </c>
      <c r="E246" s="408">
        <f>E248+E251+E253+E255+E275+E293+E295+E297+E299+E301+E303</f>
        <v>0</v>
      </c>
      <c r="F246" s="408">
        <f>F248+F251+F253+F255+F275+F293+F295+F297+F299+F301+F303</f>
        <v>45690</v>
      </c>
      <c r="G246" s="408">
        <f>G248+G251+G253+G255+G275+G293+G295+G297+G299+G301+G303+G306+G311</f>
        <v>-728967</v>
      </c>
      <c r="H246" s="408">
        <f t="shared" si="5"/>
        <v>3504296</v>
      </c>
    </row>
    <row r="247" spans="1:8" x14ac:dyDescent="0.2">
      <c r="C247" s="108"/>
      <c r="D247" s="408"/>
      <c r="E247" s="408"/>
      <c r="F247" s="408"/>
      <c r="G247" s="408"/>
      <c r="H247" s="408">
        <f t="shared" si="5"/>
        <v>0</v>
      </c>
    </row>
    <row r="248" spans="1:8" x14ac:dyDescent="0.2">
      <c r="A248" s="6" t="s">
        <v>679</v>
      </c>
      <c r="B248" s="6" t="s">
        <v>178</v>
      </c>
      <c r="C248" s="92" t="s">
        <v>203</v>
      </c>
      <c r="D248" s="388">
        <f>799211-583</f>
        <v>798628</v>
      </c>
      <c r="E248" s="388"/>
      <c r="F248" s="388">
        <v>800</v>
      </c>
      <c r="G248" s="388">
        <f>-7900-3745</f>
        <v>-11645</v>
      </c>
      <c r="H248" s="388">
        <f t="shared" si="5"/>
        <v>787783</v>
      </c>
    </row>
    <row r="249" spans="1:8" x14ac:dyDescent="0.2">
      <c r="C249" s="93" t="s">
        <v>187</v>
      </c>
      <c r="D249" s="411">
        <f>476481-435</f>
        <v>476046</v>
      </c>
      <c r="E249" s="411"/>
      <c r="F249" s="411"/>
      <c r="G249" s="411">
        <f>-5905-2799</f>
        <v>-8704</v>
      </c>
      <c r="H249" s="411">
        <f t="shared" si="5"/>
        <v>467342</v>
      </c>
    </row>
    <row r="250" spans="1:8" x14ac:dyDescent="0.2">
      <c r="C250" s="93"/>
      <c r="D250" s="411"/>
      <c r="E250" s="411"/>
      <c r="F250" s="411"/>
      <c r="G250" s="411"/>
      <c r="H250" s="411">
        <f t="shared" si="5"/>
        <v>0</v>
      </c>
    </row>
    <row r="251" spans="1:8" x14ac:dyDescent="0.2">
      <c r="A251" s="6" t="s">
        <v>679</v>
      </c>
      <c r="B251" s="6" t="s">
        <v>178</v>
      </c>
      <c r="C251" s="92" t="s">
        <v>459</v>
      </c>
      <c r="D251" s="388">
        <v>223600</v>
      </c>
      <c r="E251" s="388"/>
      <c r="F251" s="388"/>
      <c r="G251" s="388">
        <f>-33145-3200-30000</f>
        <v>-66345</v>
      </c>
      <c r="H251" s="388">
        <f t="shared" si="5"/>
        <v>157255</v>
      </c>
    </row>
    <row r="252" spans="1:8" x14ac:dyDescent="0.2">
      <c r="C252" s="93"/>
      <c r="D252" s="411"/>
      <c r="E252" s="411"/>
      <c r="F252" s="411"/>
      <c r="G252" s="411"/>
      <c r="H252" s="411">
        <f t="shared" si="5"/>
        <v>0</v>
      </c>
    </row>
    <row r="253" spans="1:8" ht="25.5" x14ac:dyDescent="0.2">
      <c r="A253" s="6" t="s">
        <v>679</v>
      </c>
      <c r="B253" s="6" t="s">
        <v>178</v>
      </c>
      <c r="C253" s="95" t="s">
        <v>59</v>
      </c>
      <c r="D253" s="414">
        <v>12700</v>
      </c>
      <c r="E253" s="414"/>
      <c r="F253" s="414"/>
      <c r="G253" s="414"/>
      <c r="H253" s="414">
        <f t="shared" si="5"/>
        <v>12700</v>
      </c>
    </row>
    <row r="254" spans="1:8" x14ac:dyDescent="0.2">
      <c r="C254" s="108"/>
      <c r="D254" s="408"/>
      <c r="E254" s="408"/>
      <c r="F254" s="408"/>
      <c r="G254" s="408"/>
      <c r="H254" s="408">
        <f t="shared" si="5"/>
        <v>0</v>
      </c>
    </row>
    <row r="255" spans="1:8" x14ac:dyDescent="0.2">
      <c r="A255" s="6" t="s">
        <v>679</v>
      </c>
      <c r="B255" s="6" t="s">
        <v>178</v>
      </c>
      <c r="C255" s="92" t="s">
        <v>404</v>
      </c>
      <c r="D255" s="388">
        <f>1283190-15000</f>
        <v>1268190</v>
      </c>
      <c r="E255" s="388"/>
      <c r="F255" s="388">
        <v>6890</v>
      </c>
      <c r="G255" s="388">
        <v>0</v>
      </c>
      <c r="H255" s="388">
        <f t="shared" si="5"/>
        <v>1275080</v>
      </c>
    </row>
    <row r="256" spans="1:8" x14ac:dyDescent="0.2">
      <c r="C256" s="93" t="s">
        <v>187</v>
      </c>
      <c r="D256" s="411">
        <v>75000</v>
      </c>
      <c r="E256" s="411"/>
      <c r="F256" s="411">
        <v>1495</v>
      </c>
      <c r="G256" s="411">
        <f>-10000-10000</f>
        <v>-20000</v>
      </c>
      <c r="H256" s="411">
        <f t="shared" si="5"/>
        <v>56495</v>
      </c>
    </row>
    <row r="257" spans="3:8" x14ac:dyDescent="0.2">
      <c r="C257" s="93" t="s">
        <v>204</v>
      </c>
      <c r="D257" s="411"/>
      <c r="E257" s="411"/>
      <c r="F257" s="411"/>
      <c r="G257" s="411"/>
      <c r="H257" s="411">
        <f t="shared" si="5"/>
        <v>0</v>
      </c>
    </row>
    <row r="258" spans="3:8" x14ac:dyDescent="0.2">
      <c r="C258" s="141" t="s">
        <v>409</v>
      </c>
      <c r="D258" s="416">
        <v>55000</v>
      </c>
      <c r="E258" s="416"/>
      <c r="F258" s="416">
        <v>15025</v>
      </c>
      <c r="G258" s="416"/>
      <c r="H258" s="416">
        <f t="shared" si="5"/>
        <v>70025</v>
      </c>
    </row>
    <row r="259" spans="3:8" x14ac:dyDescent="0.2">
      <c r="C259" s="141" t="s">
        <v>736</v>
      </c>
      <c r="D259" s="416">
        <v>30000</v>
      </c>
      <c r="E259" s="416"/>
      <c r="F259" s="416"/>
      <c r="G259" s="416"/>
      <c r="H259" s="416">
        <f t="shared" si="5"/>
        <v>30000</v>
      </c>
    </row>
    <row r="260" spans="3:8" x14ac:dyDescent="0.2">
      <c r="C260" s="141" t="s">
        <v>205</v>
      </c>
      <c r="D260" s="416">
        <v>40000</v>
      </c>
      <c r="E260" s="416"/>
      <c r="F260" s="416"/>
      <c r="G260" s="416">
        <v>-6890</v>
      </c>
      <c r="H260" s="416">
        <f t="shared" si="5"/>
        <v>33110</v>
      </c>
    </row>
    <row r="261" spans="3:8" x14ac:dyDescent="0.2">
      <c r="C261" s="141" t="s">
        <v>390</v>
      </c>
      <c r="D261" s="416">
        <v>12800</v>
      </c>
      <c r="E261" s="416"/>
      <c r="F261" s="416"/>
      <c r="G261" s="416"/>
      <c r="H261" s="416">
        <f t="shared" si="5"/>
        <v>12800</v>
      </c>
    </row>
    <row r="262" spans="3:8" x14ac:dyDescent="0.2">
      <c r="C262" s="141" t="s">
        <v>408</v>
      </c>
      <c r="D262" s="416">
        <v>210000</v>
      </c>
      <c r="E262" s="416"/>
      <c r="F262" s="416">
        <f>-3000+5000</f>
        <v>2000</v>
      </c>
      <c r="G262" s="416">
        <v>-10000</v>
      </c>
      <c r="H262" s="416">
        <f t="shared" si="5"/>
        <v>202000</v>
      </c>
    </row>
    <row r="263" spans="3:8" x14ac:dyDescent="0.2">
      <c r="C263" s="141" t="s">
        <v>62</v>
      </c>
      <c r="D263" s="416">
        <v>610000</v>
      </c>
      <c r="E263" s="416"/>
      <c r="F263" s="416"/>
      <c r="G263" s="416"/>
      <c r="H263" s="416">
        <f t="shared" ref="H263:H322" si="7">SUM(D263:G263)</f>
        <v>610000</v>
      </c>
    </row>
    <row r="264" spans="3:8" x14ac:dyDescent="0.2">
      <c r="C264" s="141" t="s">
        <v>206</v>
      </c>
      <c r="D264" s="416">
        <v>15000</v>
      </c>
      <c r="E264" s="416"/>
      <c r="F264" s="416"/>
      <c r="G264" s="416">
        <f>26000+700</f>
        <v>26700</v>
      </c>
      <c r="H264" s="416">
        <f t="shared" si="7"/>
        <v>41700</v>
      </c>
    </row>
    <row r="265" spans="3:8" x14ac:dyDescent="0.2">
      <c r="C265" s="141" t="s">
        <v>601</v>
      </c>
      <c r="D265" s="416">
        <v>30000</v>
      </c>
      <c r="E265" s="416"/>
      <c r="F265" s="416"/>
      <c r="G265" s="416">
        <v>9750</v>
      </c>
      <c r="H265" s="416">
        <f t="shared" si="7"/>
        <v>39750</v>
      </c>
    </row>
    <row r="266" spans="3:8" x14ac:dyDescent="0.2">
      <c r="C266" s="141" t="s">
        <v>858</v>
      </c>
      <c r="D266" s="416">
        <v>30000</v>
      </c>
      <c r="E266" s="416"/>
      <c r="F266" s="416"/>
      <c r="G266" s="416">
        <v>-5000</v>
      </c>
      <c r="H266" s="416">
        <f t="shared" si="7"/>
        <v>25000</v>
      </c>
    </row>
    <row r="267" spans="3:8" x14ac:dyDescent="0.2">
      <c r="C267" s="141" t="s">
        <v>600</v>
      </c>
      <c r="D267" s="416">
        <v>30000</v>
      </c>
      <c r="E267" s="416"/>
      <c r="F267" s="416"/>
      <c r="G267" s="416">
        <v>-25600</v>
      </c>
      <c r="H267" s="416">
        <f t="shared" si="7"/>
        <v>4400</v>
      </c>
    </row>
    <row r="268" spans="3:8" x14ac:dyDescent="0.2">
      <c r="C268" s="141" t="s">
        <v>60</v>
      </c>
      <c r="D268" s="416">
        <v>6000</v>
      </c>
      <c r="E268" s="416"/>
      <c r="F268" s="416"/>
      <c r="G268" s="416"/>
      <c r="H268" s="416">
        <f t="shared" si="7"/>
        <v>6000</v>
      </c>
    </row>
    <row r="269" spans="3:8" x14ac:dyDescent="0.2">
      <c r="C269" s="141" t="s">
        <v>61</v>
      </c>
      <c r="D269" s="416">
        <v>6000</v>
      </c>
      <c r="E269" s="416"/>
      <c r="F269" s="416"/>
      <c r="G269" s="416"/>
      <c r="H269" s="416">
        <f t="shared" si="7"/>
        <v>6000</v>
      </c>
    </row>
    <row r="270" spans="3:8" x14ac:dyDescent="0.2">
      <c r="C270" s="141" t="s">
        <v>63</v>
      </c>
      <c r="D270" s="416">
        <v>20000</v>
      </c>
      <c r="E270" s="416"/>
      <c r="F270" s="416"/>
      <c r="G270" s="416"/>
      <c r="H270" s="416">
        <f t="shared" si="7"/>
        <v>20000</v>
      </c>
    </row>
    <row r="271" spans="3:8" x14ac:dyDescent="0.2">
      <c r="C271" s="141" t="s">
        <v>472</v>
      </c>
      <c r="D271" s="416">
        <v>50000</v>
      </c>
      <c r="E271" s="416"/>
      <c r="F271" s="416"/>
      <c r="G271" s="416"/>
      <c r="H271" s="416">
        <f t="shared" si="7"/>
        <v>50000</v>
      </c>
    </row>
    <row r="272" spans="3:8" x14ac:dyDescent="0.2">
      <c r="C272" s="141"/>
      <c r="D272" s="416"/>
      <c r="E272" s="416"/>
      <c r="F272" s="416"/>
      <c r="G272" s="416"/>
      <c r="H272" s="416">
        <f t="shared" si="7"/>
        <v>0</v>
      </c>
    </row>
    <row r="273" spans="1:8" ht="33.75" x14ac:dyDescent="0.2">
      <c r="C273" s="152" t="s">
        <v>11</v>
      </c>
      <c r="D273" s="426"/>
      <c r="E273" s="426"/>
      <c r="F273" s="426"/>
      <c r="G273" s="426"/>
      <c r="H273" s="426">
        <f t="shared" si="7"/>
        <v>0</v>
      </c>
    </row>
    <row r="274" spans="1:8" x14ac:dyDescent="0.2">
      <c r="C274" s="154"/>
      <c r="D274" s="409"/>
      <c r="E274" s="409"/>
      <c r="F274" s="409"/>
      <c r="G274" s="409"/>
      <c r="H274" s="409">
        <f t="shared" si="7"/>
        <v>0</v>
      </c>
    </row>
    <row r="275" spans="1:8" x14ac:dyDescent="0.2">
      <c r="A275" s="6" t="s">
        <v>679</v>
      </c>
      <c r="B275" s="6" t="s">
        <v>178</v>
      </c>
      <c r="C275" s="92" t="s">
        <v>424</v>
      </c>
      <c r="D275" s="388">
        <f>632225+25000</f>
        <v>657225</v>
      </c>
      <c r="E275" s="388"/>
      <c r="F275" s="388">
        <v>38000</v>
      </c>
      <c r="G275" s="388">
        <f>SUM(G276:G291)</f>
        <v>47300</v>
      </c>
      <c r="H275" s="388">
        <f t="shared" si="7"/>
        <v>742525</v>
      </c>
    </row>
    <row r="276" spans="1:8" x14ac:dyDescent="0.2">
      <c r="C276" s="155" t="s">
        <v>613</v>
      </c>
      <c r="D276" s="410">
        <v>25000</v>
      </c>
      <c r="E276" s="410"/>
      <c r="F276" s="410"/>
      <c r="G276" s="410"/>
      <c r="H276" s="410">
        <f t="shared" si="7"/>
        <v>25000</v>
      </c>
    </row>
    <row r="277" spans="1:8" x14ac:dyDescent="0.2">
      <c r="C277" s="156" t="s">
        <v>405</v>
      </c>
      <c r="D277" s="416">
        <v>12000</v>
      </c>
      <c r="E277" s="416"/>
      <c r="F277" s="416"/>
      <c r="G277" s="416"/>
      <c r="H277" s="416">
        <f t="shared" si="7"/>
        <v>12000</v>
      </c>
    </row>
    <row r="278" spans="1:8" x14ac:dyDescent="0.2">
      <c r="C278" s="146" t="s">
        <v>391</v>
      </c>
      <c r="D278" s="416">
        <v>55000</v>
      </c>
      <c r="E278" s="416"/>
      <c r="F278" s="416"/>
      <c r="G278" s="416"/>
      <c r="H278" s="416">
        <f t="shared" si="7"/>
        <v>55000</v>
      </c>
    </row>
    <row r="279" spans="1:8" x14ac:dyDescent="0.2">
      <c r="C279" s="146" t="s">
        <v>392</v>
      </c>
      <c r="D279" s="416">
        <v>10000</v>
      </c>
      <c r="E279" s="416"/>
      <c r="F279" s="416"/>
      <c r="G279" s="416"/>
      <c r="H279" s="416">
        <f t="shared" si="7"/>
        <v>10000</v>
      </c>
    </row>
    <row r="280" spans="1:8" x14ac:dyDescent="0.2">
      <c r="C280" s="146" t="s">
        <v>393</v>
      </c>
      <c r="D280" s="416">
        <v>32000</v>
      </c>
      <c r="E280" s="416"/>
      <c r="F280" s="416"/>
      <c r="G280" s="416"/>
      <c r="H280" s="416">
        <f t="shared" si="7"/>
        <v>32000</v>
      </c>
    </row>
    <row r="281" spans="1:8" x14ac:dyDescent="0.2">
      <c r="C281" s="146" t="s">
        <v>566</v>
      </c>
      <c r="D281" s="416">
        <v>32000</v>
      </c>
      <c r="E281" s="416"/>
      <c r="F281" s="416"/>
      <c r="G281" s="416">
        <v>10000</v>
      </c>
      <c r="H281" s="416">
        <f t="shared" si="7"/>
        <v>42000</v>
      </c>
    </row>
    <row r="282" spans="1:8" x14ac:dyDescent="0.2">
      <c r="C282" s="146" t="s">
        <v>426</v>
      </c>
      <c r="D282" s="416">
        <v>10000</v>
      </c>
      <c r="E282" s="416"/>
      <c r="F282" s="416"/>
      <c r="G282" s="416"/>
      <c r="H282" s="416">
        <f t="shared" si="7"/>
        <v>10000</v>
      </c>
    </row>
    <row r="283" spans="1:8" x14ac:dyDescent="0.2">
      <c r="C283" s="146" t="s">
        <v>629</v>
      </c>
      <c r="D283" s="416">
        <v>40000</v>
      </c>
      <c r="E283" s="416"/>
      <c r="F283" s="416"/>
      <c r="G283" s="416"/>
      <c r="H283" s="416">
        <f t="shared" si="7"/>
        <v>40000</v>
      </c>
    </row>
    <row r="284" spans="1:8" x14ac:dyDescent="0.2">
      <c r="C284" s="146" t="s">
        <v>873</v>
      </c>
      <c r="D284" s="416">
        <v>15000</v>
      </c>
      <c r="E284" s="416"/>
      <c r="F284" s="416"/>
      <c r="G284" s="416"/>
      <c r="H284" s="416">
        <f t="shared" si="7"/>
        <v>15000</v>
      </c>
    </row>
    <row r="285" spans="1:8" x14ac:dyDescent="0.2">
      <c r="C285" s="146" t="s">
        <v>652</v>
      </c>
      <c r="D285" s="416">
        <v>15000</v>
      </c>
      <c r="E285" s="416"/>
      <c r="F285" s="416"/>
      <c r="G285" s="416"/>
      <c r="H285" s="416">
        <f t="shared" si="7"/>
        <v>15000</v>
      </c>
    </row>
    <row r="286" spans="1:8" x14ac:dyDescent="0.2">
      <c r="C286" s="146" t="s">
        <v>663</v>
      </c>
      <c r="D286" s="416">
        <v>25000</v>
      </c>
      <c r="E286" s="416"/>
      <c r="F286" s="416">
        <v>30000</v>
      </c>
      <c r="G286" s="416"/>
      <c r="H286" s="416">
        <f t="shared" si="7"/>
        <v>55000</v>
      </c>
    </row>
    <row r="287" spans="1:8" x14ac:dyDescent="0.2">
      <c r="C287" s="146" t="s">
        <v>767</v>
      </c>
      <c r="D287" s="416"/>
      <c r="E287" s="416"/>
      <c r="F287" s="416">
        <v>3000</v>
      </c>
      <c r="G287" s="416"/>
      <c r="H287" s="416">
        <f t="shared" si="7"/>
        <v>3000</v>
      </c>
    </row>
    <row r="288" spans="1:8" x14ac:dyDescent="0.2">
      <c r="C288" s="146" t="s">
        <v>781</v>
      </c>
      <c r="D288" s="416"/>
      <c r="E288" s="416"/>
      <c r="F288" s="416">
        <v>5000</v>
      </c>
      <c r="G288" s="416"/>
      <c r="H288" s="416">
        <f t="shared" si="7"/>
        <v>5000</v>
      </c>
    </row>
    <row r="289" spans="1:8" x14ac:dyDescent="0.2">
      <c r="C289" s="146" t="s">
        <v>840</v>
      </c>
      <c r="D289" s="416"/>
      <c r="E289" s="416"/>
      <c r="F289" s="416"/>
      <c r="G289" s="416">
        <v>20000</v>
      </c>
      <c r="H289" s="416">
        <f t="shared" si="7"/>
        <v>20000</v>
      </c>
    </row>
    <row r="290" spans="1:8" x14ac:dyDescent="0.2">
      <c r="C290" s="146" t="s">
        <v>865</v>
      </c>
      <c r="D290" s="416"/>
      <c r="E290" s="416"/>
      <c r="F290" s="416"/>
      <c r="G290" s="416">
        <v>15000</v>
      </c>
      <c r="H290" s="416">
        <f t="shared" si="7"/>
        <v>15000</v>
      </c>
    </row>
    <row r="291" spans="1:8" x14ac:dyDescent="0.2">
      <c r="C291" s="146" t="s">
        <v>874</v>
      </c>
      <c r="D291" s="416"/>
      <c r="E291" s="416"/>
      <c r="F291" s="416"/>
      <c r="G291" s="416">
        <v>2300</v>
      </c>
      <c r="H291" s="416">
        <f t="shared" si="7"/>
        <v>2300</v>
      </c>
    </row>
    <row r="292" spans="1:8" x14ac:dyDescent="0.2">
      <c r="C292" s="308"/>
      <c r="D292" s="390"/>
      <c r="E292" s="390"/>
      <c r="F292" s="390"/>
      <c r="G292" s="390"/>
      <c r="H292" s="390">
        <f t="shared" si="7"/>
        <v>0</v>
      </c>
    </row>
    <row r="293" spans="1:8" x14ac:dyDescent="0.2">
      <c r="A293" s="6" t="s">
        <v>679</v>
      </c>
      <c r="B293" s="6" t="s">
        <v>178</v>
      </c>
      <c r="C293" s="92" t="s">
        <v>389</v>
      </c>
      <c r="D293" s="388">
        <v>1060000</v>
      </c>
      <c r="E293" s="388"/>
      <c r="F293" s="388"/>
      <c r="G293" s="388">
        <f>-873160+158288</f>
        <v>-714872</v>
      </c>
      <c r="H293" s="388">
        <f t="shared" si="7"/>
        <v>345128</v>
      </c>
    </row>
    <row r="294" spans="1:8" x14ac:dyDescent="0.2">
      <c r="C294" s="146"/>
      <c r="D294" s="416"/>
      <c r="E294" s="416"/>
      <c r="F294" s="416"/>
      <c r="G294" s="416"/>
      <c r="H294" s="416">
        <f t="shared" si="7"/>
        <v>0</v>
      </c>
    </row>
    <row r="295" spans="1:8" x14ac:dyDescent="0.2">
      <c r="A295" s="6" t="s">
        <v>679</v>
      </c>
      <c r="B295" s="6" t="s">
        <v>178</v>
      </c>
      <c r="C295" s="92" t="s">
        <v>64</v>
      </c>
      <c r="D295" s="388">
        <f>80000+20000+20000</f>
        <v>120000</v>
      </c>
      <c r="E295" s="388"/>
      <c r="F295" s="388"/>
      <c r="G295" s="388"/>
      <c r="H295" s="388">
        <f t="shared" si="7"/>
        <v>120000</v>
      </c>
    </row>
    <row r="296" spans="1:8" x14ac:dyDescent="0.2">
      <c r="C296" s="92"/>
      <c r="D296" s="388"/>
      <c r="E296" s="388"/>
      <c r="F296" s="388"/>
      <c r="G296" s="388"/>
      <c r="H296" s="388">
        <f t="shared" si="7"/>
        <v>0</v>
      </c>
    </row>
    <row r="297" spans="1:8" x14ac:dyDescent="0.2">
      <c r="A297" s="6" t="s">
        <v>679</v>
      </c>
      <c r="B297" s="6" t="s">
        <v>178</v>
      </c>
      <c r="C297" s="92" t="s">
        <v>462</v>
      </c>
      <c r="D297" s="388">
        <v>29500</v>
      </c>
      <c r="E297" s="388"/>
      <c r="F297" s="388"/>
      <c r="G297" s="388"/>
      <c r="H297" s="388">
        <f t="shared" si="7"/>
        <v>29500</v>
      </c>
    </row>
    <row r="298" spans="1:8" x14ac:dyDescent="0.2">
      <c r="C298" s="92"/>
      <c r="D298" s="388"/>
      <c r="E298" s="388"/>
      <c r="F298" s="388"/>
      <c r="G298" s="388"/>
      <c r="H298" s="388">
        <f t="shared" si="7"/>
        <v>0</v>
      </c>
    </row>
    <row r="299" spans="1:8" x14ac:dyDescent="0.2">
      <c r="A299" s="6" t="s">
        <v>679</v>
      </c>
      <c r="B299" s="6" t="s">
        <v>178</v>
      </c>
      <c r="C299" s="92" t="s">
        <v>461</v>
      </c>
      <c r="D299" s="388">
        <v>1300</v>
      </c>
      <c r="E299" s="388"/>
      <c r="F299" s="388"/>
      <c r="G299" s="388"/>
      <c r="H299" s="388">
        <f t="shared" si="7"/>
        <v>1300</v>
      </c>
    </row>
    <row r="300" spans="1:8" x14ac:dyDescent="0.2">
      <c r="C300" s="92"/>
      <c r="D300" s="388"/>
      <c r="E300" s="388"/>
      <c r="F300" s="388"/>
      <c r="G300" s="388"/>
      <c r="H300" s="388">
        <f t="shared" si="7"/>
        <v>0</v>
      </c>
    </row>
    <row r="301" spans="1:8" x14ac:dyDescent="0.2">
      <c r="A301" s="6" t="s">
        <v>679</v>
      </c>
      <c r="B301" s="6" t="s">
        <v>178</v>
      </c>
      <c r="C301" s="92" t="s">
        <v>394</v>
      </c>
      <c r="D301" s="388">
        <v>4430</v>
      </c>
      <c r="E301" s="388"/>
      <c r="F301" s="388"/>
      <c r="G301" s="388"/>
      <c r="H301" s="388">
        <f t="shared" si="7"/>
        <v>4430</v>
      </c>
    </row>
    <row r="302" spans="1:8" x14ac:dyDescent="0.2">
      <c r="C302" s="92"/>
      <c r="D302" s="388"/>
      <c r="E302" s="388"/>
      <c r="F302" s="388"/>
      <c r="G302" s="388"/>
      <c r="H302" s="388">
        <f t="shared" si="7"/>
        <v>0</v>
      </c>
    </row>
    <row r="303" spans="1:8" x14ac:dyDescent="0.2">
      <c r="A303" s="6" t="s">
        <v>679</v>
      </c>
      <c r="B303" s="6" t="s">
        <v>178</v>
      </c>
      <c r="C303" s="157" t="s">
        <v>12</v>
      </c>
      <c r="D303" s="427">
        <v>12000</v>
      </c>
      <c r="E303" s="427"/>
      <c r="F303" s="427"/>
      <c r="G303" s="427"/>
      <c r="H303" s="427">
        <f t="shared" si="7"/>
        <v>12000</v>
      </c>
    </row>
    <row r="304" spans="1:8" x14ac:dyDescent="0.2">
      <c r="C304" s="93" t="s">
        <v>187</v>
      </c>
      <c r="D304" s="411"/>
      <c r="E304" s="411"/>
      <c r="F304" s="411">
        <v>1250</v>
      </c>
      <c r="G304" s="411"/>
      <c r="H304" s="411">
        <f t="shared" si="7"/>
        <v>1250</v>
      </c>
    </row>
    <row r="305" spans="1:8" x14ac:dyDescent="0.2">
      <c r="C305" s="93"/>
      <c r="D305" s="411"/>
      <c r="E305" s="411"/>
      <c r="F305" s="411"/>
      <c r="G305" s="411"/>
      <c r="H305" s="411">
        <f t="shared" si="7"/>
        <v>0</v>
      </c>
    </row>
    <row r="306" spans="1:8" ht="24" x14ac:dyDescent="0.2">
      <c r="A306" s="6" t="s">
        <v>679</v>
      </c>
      <c r="B306" s="6" t="s">
        <v>178</v>
      </c>
      <c r="C306" s="383" t="s">
        <v>859</v>
      </c>
      <c r="D306" s="428"/>
      <c r="E306" s="428"/>
      <c r="F306" s="428"/>
      <c r="G306" s="428">
        <v>5550</v>
      </c>
      <c r="H306" s="428">
        <f t="shared" si="7"/>
        <v>5550</v>
      </c>
    </row>
    <row r="307" spans="1:8" x14ac:dyDescent="0.2">
      <c r="C307" s="93" t="s">
        <v>187</v>
      </c>
      <c r="D307" s="411"/>
      <c r="E307" s="411"/>
      <c r="F307" s="411"/>
      <c r="G307" s="411">
        <v>1330</v>
      </c>
      <c r="H307" s="411">
        <f t="shared" si="7"/>
        <v>1330</v>
      </c>
    </row>
    <row r="308" spans="1:8" x14ac:dyDescent="0.2">
      <c r="C308" s="93"/>
      <c r="D308" s="411"/>
      <c r="E308" s="411"/>
      <c r="F308" s="411"/>
      <c r="G308" s="411"/>
      <c r="H308" s="411">
        <f t="shared" si="7"/>
        <v>0</v>
      </c>
    </row>
    <row r="309" spans="1:8" x14ac:dyDescent="0.2">
      <c r="C309" s="98" t="s">
        <v>200</v>
      </c>
      <c r="D309" s="411"/>
      <c r="E309" s="411"/>
      <c r="F309" s="411"/>
      <c r="G309" s="411">
        <v>5550</v>
      </c>
      <c r="H309" s="411">
        <f t="shared" si="7"/>
        <v>5550</v>
      </c>
    </row>
    <row r="310" spans="1:8" x14ac:dyDescent="0.2">
      <c r="C310" s="93"/>
      <c r="D310" s="411"/>
      <c r="E310" s="411"/>
      <c r="F310" s="411"/>
      <c r="G310" s="411"/>
      <c r="H310" s="411">
        <f t="shared" si="7"/>
        <v>0</v>
      </c>
    </row>
    <row r="311" spans="1:8" ht="51" x14ac:dyDescent="0.2">
      <c r="A311" s="6" t="s">
        <v>679</v>
      </c>
      <c r="B311" s="6" t="s">
        <v>178</v>
      </c>
      <c r="C311" s="299" t="s">
        <v>857</v>
      </c>
      <c r="D311" s="405"/>
      <c r="E311" s="405"/>
      <c r="F311" s="405"/>
      <c r="G311" s="405">
        <f>9965+162+918</f>
        <v>11045</v>
      </c>
      <c r="H311" s="405">
        <f t="shared" si="7"/>
        <v>11045</v>
      </c>
    </row>
    <row r="312" spans="1:8" x14ac:dyDescent="0.2">
      <c r="C312" s="93" t="s">
        <v>187</v>
      </c>
      <c r="D312" s="411"/>
      <c r="E312" s="411"/>
      <c r="F312" s="411"/>
      <c r="G312" s="411">
        <v>4450</v>
      </c>
      <c r="H312" s="411">
        <f t="shared" si="7"/>
        <v>4450</v>
      </c>
    </row>
    <row r="313" spans="1:8" x14ac:dyDescent="0.2">
      <c r="C313" s="300"/>
      <c r="D313" s="422"/>
      <c r="E313" s="422"/>
      <c r="F313" s="422"/>
      <c r="G313" s="422"/>
      <c r="H313" s="422">
        <f t="shared" si="7"/>
        <v>0</v>
      </c>
    </row>
    <row r="314" spans="1:8" x14ac:dyDescent="0.2">
      <c r="C314" s="106" t="s">
        <v>200</v>
      </c>
      <c r="D314" s="415"/>
      <c r="E314" s="415"/>
      <c r="F314" s="415"/>
      <c r="G314" s="415">
        <f>8470+918</f>
        <v>9388</v>
      </c>
      <c r="H314" s="415">
        <f t="shared" si="7"/>
        <v>9388</v>
      </c>
    </row>
    <row r="315" spans="1:8" x14ac:dyDescent="0.2">
      <c r="C315" s="106"/>
      <c r="D315" s="415"/>
      <c r="E315" s="415"/>
      <c r="F315" s="415"/>
      <c r="G315" s="415"/>
      <c r="H315" s="415">
        <f t="shared" si="7"/>
        <v>0</v>
      </c>
    </row>
    <row r="316" spans="1:8" x14ac:dyDescent="0.2">
      <c r="C316" s="93"/>
      <c r="D316" s="411"/>
      <c r="E316" s="411"/>
      <c r="F316" s="411"/>
      <c r="G316" s="411"/>
      <c r="H316" s="411">
        <f t="shared" si="7"/>
        <v>0</v>
      </c>
    </row>
    <row r="317" spans="1:8" ht="15.75" x14ac:dyDescent="0.2">
      <c r="C317" s="118" t="s">
        <v>207</v>
      </c>
      <c r="D317" s="407"/>
      <c r="E317" s="407"/>
      <c r="F317" s="407"/>
      <c r="G317" s="407"/>
      <c r="H317" s="407">
        <f t="shared" si="7"/>
        <v>0</v>
      </c>
    </row>
    <row r="318" spans="1:8" x14ac:dyDescent="0.2">
      <c r="C318" s="108"/>
      <c r="D318" s="408"/>
      <c r="E318" s="408"/>
      <c r="F318" s="408"/>
      <c r="G318" s="408"/>
      <c r="H318" s="408">
        <f t="shared" si="7"/>
        <v>0</v>
      </c>
    </row>
    <row r="319" spans="1:8" x14ac:dyDescent="0.2">
      <c r="C319" s="108" t="s">
        <v>182</v>
      </c>
      <c r="D319" s="408">
        <f>D325+D357+D365</f>
        <v>14045634</v>
      </c>
      <c r="E319" s="408"/>
      <c r="F319" s="408">
        <f>F325+F357+F365</f>
        <v>196797</v>
      </c>
      <c r="G319" s="408">
        <f>G325+G357+G365</f>
        <v>-20547</v>
      </c>
      <c r="H319" s="408">
        <f t="shared" si="7"/>
        <v>14221884</v>
      </c>
    </row>
    <row r="320" spans="1:8" x14ac:dyDescent="0.2">
      <c r="C320" s="79" t="s">
        <v>201</v>
      </c>
      <c r="D320" s="409">
        <v>1355742</v>
      </c>
      <c r="E320" s="409"/>
      <c r="F320" s="409">
        <v>1646873</v>
      </c>
      <c r="G320" s="409">
        <v>102037</v>
      </c>
      <c r="H320" s="409">
        <f t="shared" si="7"/>
        <v>3104652</v>
      </c>
    </row>
    <row r="321" spans="1:8" x14ac:dyDescent="0.2">
      <c r="C321" s="109" t="s">
        <v>183</v>
      </c>
      <c r="D321" s="386">
        <f>SUM(D322:D323)</f>
        <v>14045634</v>
      </c>
      <c r="E321" s="386"/>
      <c r="F321" s="386">
        <f>SUM(F322:F323)</f>
        <v>196797</v>
      </c>
      <c r="G321" s="386">
        <f>SUM(G322:G323)</f>
        <v>-20547</v>
      </c>
      <c r="H321" s="386">
        <f t="shared" si="7"/>
        <v>14221884</v>
      </c>
    </row>
    <row r="322" spans="1:8" x14ac:dyDescent="0.2">
      <c r="C322" s="110" t="s">
        <v>184</v>
      </c>
      <c r="D322" s="409">
        <f>'2.2 OMATULUD'!B218</f>
        <v>4282365</v>
      </c>
      <c r="E322" s="409"/>
      <c r="F322" s="409">
        <v>153597</v>
      </c>
      <c r="G322" s="409">
        <v>163526</v>
      </c>
      <c r="H322" s="409">
        <f t="shared" si="7"/>
        <v>4599488</v>
      </c>
    </row>
    <row r="323" spans="1:8" x14ac:dyDescent="0.2">
      <c r="C323" s="111" t="s">
        <v>185</v>
      </c>
      <c r="D323" s="409">
        <f>D319-D322</f>
        <v>9763269</v>
      </c>
      <c r="E323" s="409"/>
      <c r="F323" s="409">
        <f>F319-F322</f>
        <v>43200</v>
      </c>
      <c r="G323" s="409">
        <f>G319-G322</f>
        <v>-184073</v>
      </c>
      <c r="H323" s="409">
        <f t="shared" ref="H323:H384" si="8">SUM(D323:G323)</f>
        <v>9622396</v>
      </c>
    </row>
    <row r="324" spans="1:8" x14ac:dyDescent="0.2">
      <c r="C324" s="96"/>
      <c r="D324" s="72"/>
      <c r="E324" s="72"/>
      <c r="F324" s="72"/>
      <c r="G324" s="72"/>
      <c r="H324" s="72">
        <f t="shared" si="8"/>
        <v>0</v>
      </c>
    </row>
    <row r="325" spans="1:8" ht="15" x14ac:dyDescent="0.2">
      <c r="A325" s="6" t="s">
        <v>680</v>
      </c>
      <c r="B325" s="6" t="s">
        <v>207</v>
      </c>
      <c r="C325" s="114" t="s">
        <v>208</v>
      </c>
      <c r="D325" s="384">
        <f>D326+D345+D350</f>
        <v>11665048</v>
      </c>
      <c r="E325" s="384"/>
      <c r="F325" s="384">
        <f>F326+F345+F350</f>
        <v>153995</v>
      </c>
      <c r="G325" s="384">
        <f>G326+G345+G350</f>
        <v>-73533</v>
      </c>
      <c r="H325" s="384">
        <f t="shared" si="8"/>
        <v>11745510</v>
      </c>
    </row>
    <row r="326" spans="1:8" x14ac:dyDescent="0.2">
      <c r="C326" s="112" t="s">
        <v>209</v>
      </c>
      <c r="D326" s="283">
        <f>D330+D334+D338+D342</f>
        <v>5998424</v>
      </c>
      <c r="E326" s="283"/>
      <c r="F326" s="283">
        <f>F330+F334+F338+F342</f>
        <v>187723</v>
      </c>
      <c r="G326" s="283">
        <f>G330+G334+G338+G342</f>
        <v>182347</v>
      </c>
      <c r="H326" s="283">
        <f t="shared" si="8"/>
        <v>6368494</v>
      </c>
    </row>
    <row r="327" spans="1:8" x14ac:dyDescent="0.2">
      <c r="C327" s="98" t="s">
        <v>187</v>
      </c>
      <c r="D327" s="411">
        <f>D331+D335+D339+D343</f>
        <v>1827170</v>
      </c>
      <c r="E327" s="411"/>
      <c r="F327" s="411">
        <f>F331+F335+F339+F343</f>
        <v>9562</v>
      </c>
      <c r="G327" s="411">
        <f>G331+G335+G339+G343</f>
        <v>350</v>
      </c>
      <c r="H327" s="411">
        <f t="shared" si="8"/>
        <v>1837082</v>
      </c>
    </row>
    <row r="328" spans="1:8" x14ac:dyDescent="0.2">
      <c r="C328" s="98"/>
      <c r="D328" s="411"/>
      <c r="E328" s="411"/>
      <c r="F328" s="411"/>
      <c r="G328" s="411"/>
      <c r="H328" s="411">
        <f t="shared" si="8"/>
        <v>0</v>
      </c>
    </row>
    <row r="329" spans="1:8" x14ac:dyDescent="0.2">
      <c r="C329" s="115" t="s">
        <v>194</v>
      </c>
      <c r="D329" s="283"/>
      <c r="E329" s="283"/>
      <c r="F329" s="283"/>
      <c r="G329" s="283"/>
      <c r="H329" s="283">
        <f t="shared" si="8"/>
        <v>0</v>
      </c>
    </row>
    <row r="330" spans="1:8" x14ac:dyDescent="0.2">
      <c r="C330" s="116" t="s">
        <v>523</v>
      </c>
      <c r="D330" s="419">
        <v>858240</v>
      </c>
      <c r="E330" s="419"/>
      <c r="F330" s="419">
        <v>-76566</v>
      </c>
      <c r="G330" s="419"/>
      <c r="H330" s="419">
        <f t="shared" si="8"/>
        <v>781674</v>
      </c>
    </row>
    <row r="331" spans="1:8" x14ac:dyDescent="0.2">
      <c r="C331" s="103" t="s">
        <v>187</v>
      </c>
      <c r="D331" s="411">
        <v>306365</v>
      </c>
      <c r="E331" s="411"/>
      <c r="F331" s="411">
        <v>-16351</v>
      </c>
      <c r="G331" s="411"/>
      <c r="H331" s="411">
        <f t="shared" si="8"/>
        <v>290014</v>
      </c>
    </row>
    <row r="332" spans="1:8" x14ac:dyDescent="0.2">
      <c r="C332" s="98"/>
      <c r="D332" s="411"/>
      <c r="E332" s="411"/>
      <c r="F332" s="411"/>
      <c r="G332" s="411"/>
      <c r="H332" s="411">
        <f t="shared" si="8"/>
        <v>0</v>
      </c>
    </row>
    <row r="333" spans="1:8" x14ac:dyDescent="0.2">
      <c r="C333" s="115" t="s">
        <v>194</v>
      </c>
      <c r="D333" s="283"/>
      <c r="E333" s="283"/>
      <c r="F333" s="283"/>
      <c r="G333" s="283"/>
      <c r="H333" s="283">
        <f t="shared" si="8"/>
        <v>0</v>
      </c>
    </row>
    <row r="334" spans="1:8" ht="35.25" x14ac:dyDescent="0.2">
      <c r="C334" s="116" t="s">
        <v>614</v>
      </c>
      <c r="D334" s="419">
        <f>2438430+1103224</f>
        <v>3541654</v>
      </c>
      <c r="E334" s="419"/>
      <c r="F334" s="419">
        <v>248989</v>
      </c>
      <c r="G334" s="419">
        <f>25794+6320+135681+4932</f>
        <v>172727</v>
      </c>
      <c r="H334" s="419">
        <f t="shared" si="8"/>
        <v>3963370</v>
      </c>
    </row>
    <row r="335" spans="1:8" x14ac:dyDescent="0.2">
      <c r="C335" s="103" t="s">
        <v>187</v>
      </c>
      <c r="D335" s="411">
        <f>791895+274500</f>
        <v>1066395</v>
      </c>
      <c r="E335" s="411"/>
      <c r="F335" s="411">
        <v>12257</v>
      </c>
      <c r="G335" s="411">
        <v>-7000</v>
      </c>
      <c r="H335" s="411">
        <f t="shared" si="8"/>
        <v>1071652</v>
      </c>
    </row>
    <row r="336" spans="1:8" x14ac:dyDescent="0.2">
      <c r="C336" s="309"/>
      <c r="D336" s="429"/>
      <c r="E336" s="429"/>
      <c r="F336" s="429"/>
      <c r="G336" s="429"/>
      <c r="H336" s="429">
        <f t="shared" si="8"/>
        <v>0</v>
      </c>
    </row>
    <row r="337" spans="3:8" x14ac:dyDescent="0.2">
      <c r="C337" s="115" t="s">
        <v>194</v>
      </c>
      <c r="D337" s="283"/>
      <c r="E337" s="283"/>
      <c r="F337" s="283"/>
      <c r="G337" s="283"/>
      <c r="H337" s="283">
        <f t="shared" si="8"/>
        <v>0</v>
      </c>
    </row>
    <row r="338" spans="3:8" x14ac:dyDescent="0.2">
      <c r="C338" s="116" t="s">
        <v>524</v>
      </c>
      <c r="D338" s="419">
        <v>1094960</v>
      </c>
      <c r="E338" s="419"/>
      <c r="F338" s="419">
        <v>7270</v>
      </c>
      <c r="G338" s="419"/>
      <c r="H338" s="419">
        <f t="shared" si="8"/>
        <v>1102230</v>
      </c>
    </row>
    <row r="339" spans="3:8" x14ac:dyDescent="0.2">
      <c r="C339" s="103" t="s">
        <v>187</v>
      </c>
      <c r="D339" s="411">
        <v>318010</v>
      </c>
      <c r="E339" s="411"/>
      <c r="F339" s="411">
        <v>7656</v>
      </c>
      <c r="G339" s="411"/>
      <c r="H339" s="411">
        <f t="shared" si="8"/>
        <v>325666</v>
      </c>
    </row>
    <row r="340" spans="3:8" x14ac:dyDescent="0.2">
      <c r="C340" s="103"/>
      <c r="D340" s="411"/>
      <c r="E340" s="411"/>
      <c r="F340" s="411"/>
      <c r="G340" s="411"/>
      <c r="H340" s="411">
        <f t="shared" si="8"/>
        <v>0</v>
      </c>
    </row>
    <row r="341" spans="3:8" x14ac:dyDescent="0.2">
      <c r="C341" s="115" t="s">
        <v>194</v>
      </c>
      <c r="D341" s="283"/>
      <c r="E341" s="283"/>
      <c r="F341" s="283"/>
      <c r="G341" s="283"/>
      <c r="H341" s="283">
        <f t="shared" si="8"/>
        <v>0</v>
      </c>
    </row>
    <row r="342" spans="3:8" ht="35.25" x14ac:dyDescent="0.2">
      <c r="C342" s="116" t="s">
        <v>525</v>
      </c>
      <c r="D342" s="419">
        <v>503570</v>
      </c>
      <c r="E342" s="419"/>
      <c r="F342" s="419">
        <v>8030</v>
      </c>
      <c r="G342" s="419">
        <f>7220+2400</f>
        <v>9620</v>
      </c>
      <c r="H342" s="419">
        <f t="shared" si="8"/>
        <v>521220</v>
      </c>
    </row>
    <row r="343" spans="3:8" x14ac:dyDescent="0.2">
      <c r="C343" s="103" t="s">
        <v>187</v>
      </c>
      <c r="D343" s="411">
        <v>136400</v>
      </c>
      <c r="E343" s="411"/>
      <c r="F343" s="411">
        <v>6000</v>
      </c>
      <c r="G343" s="411">
        <f>5550+1800</f>
        <v>7350</v>
      </c>
      <c r="H343" s="411">
        <f t="shared" si="8"/>
        <v>149750</v>
      </c>
    </row>
    <row r="344" spans="3:8" x14ac:dyDescent="0.2">
      <c r="C344" s="103"/>
      <c r="D344" s="411"/>
      <c r="E344" s="411"/>
      <c r="F344" s="411"/>
      <c r="G344" s="411"/>
      <c r="H344" s="411">
        <f t="shared" si="8"/>
        <v>0</v>
      </c>
    </row>
    <row r="345" spans="3:8" x14ac:dyDescent="0.2">
      <c r="C345" s="112" t="s">
        <v>210</v>
      </c>
      <c r="D345" s="283">
        <f>D348</f>
        <v>4145000</v>
      </c>
      <c r="E345" s="283"/>
      <c r="F345" s="283"/>
      <c r="G345" s="283"/>
      <c r="H345" s="283">
        <f t="shared" si="8"/>
        <v>4145000</v>
      </c>
    </row>
    <row r="346" spans="3:8" x14ac:dyDescent="0.2">
      <c r="C346" s="112"/>
      <c r="D346" s="283"/>
      <c r="E346" s="283"/>
      <c r="F346" s="283"/>
      <c r="G346" s="283"/>
      <c r="H346" s="283">
        <f t="shared" si="8"/>
        <v>0</v>
      </c>
    </row>
    <row r="347" spans="3:8" x14ac:dyDescent="0.2">
      <c r="C347" s="115" t="s">
        <v>194</v>
      </c>
      <c r="D347" s="283"/>
      <c r="E347" s="283"/>
      <c r="F347" s="283"/>
      <c r="G347" s="283"/>
      <c r="H347" s="283">
        <f t="shared" si="8"/>
        <v>0</v>
      </c>
    </row>
    <row r="348" spans="3:8" x14ac:dyDescent="0.2">
      <c r="C348" s="116" t="s">
        <v>650</v>
      </c>
      <c r="D348" s="419">
        <v>4145000</v>
      </c>
      <c r="E348" s="419"/>
      <c r="F348" s="419"/>
      <c r="G348" s="419"/>
      <c r="H348" s="419">
        <f t="shared" si="8"/>
        <v>4145000</v>
      </c>
    </row>
    <row r="349" spans="3:8" x14ac:dyDescent="0.2">
      <c r="C349" s="124"/>
      <c r="D349" s="430"/>
      <c r="E349" s="430"/>
      <c r="F349" s="430"/>
      <c r="G349" s="430"/>
      <c r="H349" s="430">
        <f t="shared" si="8"/>
        <v>0</v>
      </c>
    </row>
    <row r="350" spans="3:8" x14ac:dyDescent="0.2">
      <c r="C350" s="112" t="s">
        <v>602</v>
      </c>
      <c r="D350" s="283">
        <f>D354</f>
        <v>1521624</v>
      </c>
      <c r="E350" s="283"/>
      <c r="F350" s="283">
        <f>F354</f>
        <v>-33728</v>
      </c>
      <c r="G350" s="283">
        <f>G354</f>
        <v>-255880</v>
      </c>
      <c r="H350" s="283">
        <f t="shared" si="8"/>
        <v>1232016</v>
      </c>
    </row>
    <row r="351" spans="3:8" x14ac:dyDescent="0.2">
      <c r="C351" s="98" t="s">
        <v>187</v>
      </c>
      <c r="D351" s="411">
        <f>D355</f>
        <v>318369</v>
      </c>
      <c r="E351" s="411"/>
      <c r="F351" s="411">
        <f>F355</f>
        <v>0</v>
      </c>
      <c r="G351" s="411">
        <f>G355</f>
        <v>-47892</v>
      </c>
      <c r="H351" s="411">
        <f t="shared" si="8"/>
        <v>270477</v>
      </c>
    </row>
    <row r="352" spans="3:8" x14ac:dyDescent="0.2">
      <c r="C352" s="250"/>
      <c r="D352" s="72"/>
      <c r="E352" s="72"/>
      <c r="F352" s="72"/>
      <c r="G352" s="72"/>
      <c r="H352" s="72">
        <f t="shared" si="8"/>
        <v>0</v>
      </c>
    </row>
    <row r="353" spans="1:8" x14ac:dyDescent="0.2">
      <c r="C353" s="115" t="s">
        <v>194</v>
      </c>
      <c r="D353" s="283"/>
      <c r="E353" s="283"/>
      <c r="F353" s="283"/>
      <c r="G353" s="283"/>
      <c r="H353" s="283">
        <f t="shared" si="8"/>
        <v>0</v>
      </c>
    </row>
    <row r="354" spans="1:8" x14ac:dyDescent="0.2">
      <c r="C354" s="116" t="s">
        <v>603</v>
      </c>
      <c r="D354" s="419">
        <f>248200-82357+1355781</f>
        <v>1521624</v>
      </c>
      <c r="E354" s="419"/>
      <c r="F354" s="419">
        <v>-33728</v>
      </c>
      <c r="G354" s="419">
        <v>-255880</v>
      </c>
      <c r="H354" s="419">
        <f t="shared" si="8"/>
        <v>1232016</v>
      </c>
    </row>
    <row r="355" spans="1:8" x14ac:dyDescent="0.2">
      <c r="C355" s="103" t="s">
        <v>187</v>
      </c>
      <c r="D355" s="411">
        <f>481607-163238</f>
        <v>318369</v>
      </c>
      <c r="E355" s="411"/>
      <c r="F355" s="411"/>
      <c r="G355" s="411">
        <v>-47892</v>
      </c>
      <c r="H355" s="411">
        <f t="shared" si="8"/>
        <v>270477</v>
      </c>
    </row>
    <row r="356" spans="1:8" x14ac:dyDescent="0.2">
      <c r="C356" s="116"/>
      <c r="D356" s="419"/>
      <c r="E356" s="419"/>
      <c r="F356" s="419"/>
      <c r="G356" s="419"/>
      <c r="H356" s="419">
        <f t="shared" si="8"/>
        <v>0</v>
      </c>
    </row>
    <row r="357" spans="1:8" ht="15" x14ac:dyDescent="0.2">
      <c r="A357" s="6" t="s">
        <v>681</v>
      </c>
      <c r="B357" s="6" t="s">
        <v>207</v>
      </c>
      <c r="C357" s="114" t="s">
        <v>211</v>
      </c>
      <c r="D357" s="384">
        <f>D358</f>
        <v>170017</v>
      </c>
      <c r="E357" s="384"/>
      <c r="F357" s="384"/>
      <c r="G357" s="384">
        <f>G358</f>
        <v>-2336</v>
      </c>
      <c r="H357" s="384">
        <f t="shared" si="8"/>
        <v>167681</v>
      </c>
    </row>
    <row r="358" spans="1:8" x14ac:dyDescent="0.2">
      <c r="C358" s="112" t="s">
        <v>212</v>
      </c>
      <c r="D358" s="283">
        <f>D362</f>
        <v>170017</v>
      </c>
      <c r="E358" s="283"/>
      <c r="F358" s="283"/>
      <c r="G358" s="283">
        <f>G362</f>
        <v>-2336</v>
      </c>
      <c r="H358" s="283">
        <f t="shared" si="8"/>
        <v>167681</v>
      </c>
    </row>
    <row r="359" spans="1:8" x14ac:dyDescent="0.2">
      <c r="C359" s="98" t="s">
        <v>187</v>
      </c>
      <c r="D359" s="411">
        <f>D363</f>
        <v>95368</v>
      </c>
      <c r="E359" s="411"/>
      <c r="F359" s="411"/>
      <c r="G359" s="411">
        <f>G363</f>
        <v>-1746</v>
      </c>
      <c r="H359" s="411">
        <f t="shared" si="8"/>
        <v>93622</v>
      </c>
    </row>
    <row r="360" spans="1:8" x14ac:dyDescent="0.2">
      <c r="C360" s="124"/>
      <c r="D360" s="430"/>
      <c r="E360" s="430"/>
      <c r="F360" s="430"/>
      <c r="G360" s="430"/>
      <c r="H360" s="430">
        <f t="shared" si="8"/>
        <v>0</v>
      </c>
    </row>
    <row r="361" spans="1:8" x14ac:dyDescent="0.2">
      <c r="C361" s="115" t="s">
        <v>194</v>
      </c>
      <c r="D361" s="283"/>
      <c r="E361" s="283"/>
      <c r="F361" s="283"/>
      <c r="G361" s="283"/>
      <c r="H361" s="283">
        <f t="shared" si="8"/>
        <v>0</v>
      </c>
    </row>
    <row r="362" spans="1:8" x14ac:dyDescent="0.2">
      <c r="C362" s="116" t="s">
        <v>627</v>
      </c>
      <c r="D362" s="419">
        <v>170017</v>
      </c>
      <c r="E362" s="419"/>
      <c r="F362" s="419"/>
      <c r="G362" s="419">
        <v>-2336</v>
      </c>
      <c r="H362" s="419">
        <f t="shared" si="8"/>
        <v>167681</v>
      </c>
    </row>
    <row r="363" spans="1:8" x14ac:dyDescent="0.2">
      <c r="C363" s="103" t="s">
        <v>187</v>
      </c>
      <c r="D363" s="411">
        <v>95368</v>
      </c>
      <c r="E363" s="411"/>
      <c r="F363" s="411"/>
      <c r="G363" s="411">
        <v>-1746</v>
      </c>
      <c r="H363" s="411">
        <f t="shared" si="8"/>
        <v>93622</v>
      </c>
    </row>
    <row r="364" spans="1:8" x14ac:dyDescent="0.2">
      <c r="C364" s="116"/>
      <c r="D364" s="419"/>
      <c r="E364" s="419"/>
      <c r="F364" s="419"/>
      <c r="G364" s="419"/>
      <c r="H364" s="419">
        <f t="shared" si="8"/>
        <v>0</v>
      </c>
    </row>
    <row r="365" spans="1:8" x14ac:dyDescent="0.2">
      <c r="C365" s="40" t="s">
        <v>186</v>
      </c>
      <c r="D365" s="283">
        <f>D367+D370+D373+D388+D404</f>
        <v>2210569</v>
      </c>
      <c r="E365" s="283"/>
      <c r="F365" s="283">
        <f>F367+F370+F373+F388+F404</f>
        <v>42802</v>
      </c>
      <c r="G365" s="283">
        <f>G367+G370+G373+G388</f>
        <v>55322</v>
      </c>
      <c r="H365" s="283">
        <f t="shared" si="8"/>
        <v>2308693</v>
      </c>
    </row>
    <row r="366" spans="1:8" x14ac:dyDescent="0.2">
      <c r="C366" s="96"/>
      <c r="D366" s="72"/>
      <c r="E366" s="72"/>
      <c r="F366" s="72"/>
      <c r="G366" s="72"/>
      <c r="H366" s="72">
        <f t="shared" si="8"/>
        <v>0</v>
      </c>
    </row>
    <row r="367" spans="1:8" x14ac:dyDescent="0.2">
      <c r="A367" s="6" t="s">
        <v>680</v>
      </c>
      <c r="B367" s="6" t="s">
        <v>207</v>
      </c>
      <c r="C367" s="90" t="s">
        <v>213</v>
      </c>
      <c r="D367" s="72">
        <v>607679</v>
      </c>
      <c r="E367" s="72"/>
      <c r="F367" s="72">
        <f>SUM(-398)</f>
        <v>-398</v>
      </c>
      <c r="G367" s="72">
        <f>(167+10200-4917)+2336</f>
        <v>7786</v>
      </c>
      <c r="H367" s="72">
        <f t="shared" si="8"/>
        <v>615067</v>
      </c>
    </row>
    <row r="368" spans="1:8" x14ac:dyDescent="0.2">
      <c r="C368" s="93" t="s">
        <v>187</v>
      </c>
      <c r="D368" s="411">
        <v>408966</v>
      </c>
      <c r="E368" s="411"/>
      <c r="F368" s="411">
        <v>11220</v>
      </c>
      <c r="G368" s="411">
        <v>-1929</v>
      </c>
      <c r="H368" s="411">
        <f t="shared" si="8"/>
        <v>418257</v>
      </c>
    </row>
    <row r="369" spans="1:8" x14ac:dyDescent="0.2">
      <c r="C369" s="93"/>
      <c r="D369" s="411"/>
      <c r="E369" s="411"/>
      <c r="F369" s="411"/>
      <c r="G369" s="411"/>
      <c r="H369" s="411">
        <f t="shared" si="8"/>
        <v>0</v>
      </c>
    </row>
    <row r="370" spans="1:8" x14ac:dyDescent="0.2">
      <c r="A370" s="6" t="s">
        <v>680</v>
      </c>
      <c r="B370" s="6" t="s">
        <v>207</v>
      </c>
      <c r="C370" s="90" t="s">
        <v>214</v>
      </c>
      <c r="D370" s="72">
        <f>D371</f>
        <v>100000</v>
      </c>
      <c r="E370" s="72"/>
      <c r="F370" s="72"/>
      <c r="G370" s="72"/>
      <c r="H370" s="72">
        <f t="shared" si="8"/>
        <v>100000</v>
      </c>
    </row>
    <row r="371" spans="1:8" x14ac:dyDescent="0.2">
      <c r="C371" s="204" t="s">
        <v>554</v>
      </c>
      <c r="D371" s="393">
        <v>100000</v>
      </c>
      <c r="E371" s="393"/>
      <c r="F371" s="393"/>
      <c r="G371" s="393"/>
      <c r="H371" s="393">
        <f t="shared" si="8"/>
        <v>100000</v>
      </c>
    </row>
    <row r="372" spans="1:8" x14ac:dyDescent="0.2">
      <c r="C372" s="96"/>
      <c r="D372" s="72"/>
      <c r="E372" s="72"/>
      <c r="F372" s="72"/>
      <c r="G372" s="72"/>
      <c r="H372" s="72">
        <f t="shared" si="8"/>
        <v>0</v>
      </c>
    </row>
    <row r="373" spans="1:8" x14ac:dyDescent="0.2">
      <c r="A373" s="6" t="s">
        <v>680</v>
      </c>
      <c r="B373" s="6" t="s">
        <v>207</v>
      </c>
      <c r="C373" s="90" t="s">
        <v>215</v>
      </c>
      <c r="D373" s="72">
        <f>SUM(D374:D385)</f>
        <v>842400</v>
      </c>
      <c r="E373" s="72"/>
      <c r="F373" s="72">
        <f>SUM(F374:F385)</f>
        <v>20000</v>
      </c>
      <c r="G373" s="72">
        <f>SUM(G374:G386)</f>
        <v>58900</v>
      </c>
      <c r="H373" s="72">
        <f t="shared" si="8"/>
        <v>921300</v>
      </c>
    </row>
    <row r="374" spans="1:8" x14ac:dyDescent="0.2">
      <c r="C374" s="204" t="s">
        <v>555</v>
      </c>
      <c r="D374" s="393">
        <v>64000</v>
      </c>
      <c r="E374" s="393"/>
      <c r="F374" s="393"/>
      <c r="G374" s="393"/>
      <c r="H374" s="393">
        <f t="shared" si="8"/>
        <v>64000</v>
      </c>
    </row>
    <row r="375" spans="1:8" x14ac:dyDescent="0.2">
      <c r="C375" s="117" t="s">
        <v>632</v>
      </c>
      <c r="D375" s="389">
        <v>70000</v>
      </c>
      <c r="E375" s="389"/>
      <c r="F375" s="389">
        <v>20000</v>
      </c>
      <c r="G375" s="389"/>
      <c r="H375" s="389">
        <f t="shared" si="8"/>
        <v>90000</v>
      </c>
    </row>
    <row r="376" spans="1:8" x14ac:dyDescent="0.2">
      <c r="C376" s="117" t="s">
        <v>407</v>
      </c>
      <c r="D376" s="389">
        <v>45000</v>
      </c>
      <c r="E376" s="389"/>
      <c r="F376" s="389"/>
      <c r="G376" s="389"/>
      <c r="H376" s="389">
        <f t="shared" si="8"/>
        <v>45000</v>
      </c>
    </row>
    <row r="377" spans="1:8" x14ac:dyDescent="0.2">
      <c r="C377" s="303" t="s">
        <v>752</v>
      </c>
      <c r="D377" s="178">
        <v>3000</v>
      </c>
      <c r="E377" s="178"/>
      <c r="F377" s="178"/>
      <c r="G377" s="178"/>
      <c r="H377" s="178">
        <f t="shared" si="8"/>
        <v>3000</v>
      </c>
    </row>
    <row r="378" spans="1:8" x14ac:dyDescent="0.2">
      <c r="C378" s="117" t="s">
        <v>657</v>
      </c>
      <c r="D378" s="389">
        <v>120000</v>
      </c>
      <c r="E378" s="389"/>
      <c r="F378" s="389"/>
      <c r="G378" s="389"/>
      <c r="H378" s="389">
        <f t="shared" si="8"/>
        <v>120000</v>
      </c>
    </row>
    <row r="379" spans="1:8" x14ac:dyDescent="0.2">
      <c r="C379" s="117" t="s">
        <v>65</v>
      </c>
      <c r="D379" s="389">
        <v>55000</v>
      </c>
      <c r="E379" s="389"/>
      <c r="F379" s="389"/>
      <c r="G379" s="389"/>
      <c r="H379" s="389">
        <f t="shared" si="8"/>
        <v>55000</v>
      </c>
    </row>
    <row r="380" spans="1:8" x14ac:dyDescent="0.2">
      <c r="C380" s="117" t="s">
        <v>471</v>
      </c>
      <c r="D380" s="389">
        <v>60000</v>
      </c>
      <c r="E380" s="389"/>
      <c r="F380" s="389"/>
      <c r="G380" s="389"/>
      <c r="H380" s="389">
        <f t="shared" si="8"/>
        <v>60000</v>
      </c>
    </row>
    <row r="381" spans="1:8" x14ac:dyDescent="0.2">
      <c r="C381" s="117" t="s">
        <v>658</v>
      </c>
      <c r="D381" s="389">
        <v>270000</v>
      </c>
      <c r="E381" s="389"/>
      <c r="F381" s="389"/>
      <c r="G381" s="389">
        <v>4000</v>
      </c>
      <c r="H381" s="389">
        <f t="shared" si="8"/>
        <v>274000</v>
      </c>
    </row>
    <row r="382" spans="1:8" x14ac:dyDescent="0.2">
      <c r="C382" s="117" t="s">
        <v>737</v>
      </c>
      <c r="D382" s="389">
        <v>15000</v>
      </c>
      <c r="E382" s="389"/>
      <c r="F382" s="389"/>
      <c r="G382" s="389"/>
      <c r="H382" s="389">
        <f t="shared" si="8"/>
        <v>15000</v>
      </c>
    </row>
    <row r="383" spans="1:8" x14ac:dyDescent="0.2">
      <c r="C383" s="117" t="s">
        <v>667</v>
      </c>
      <c r="D383" s="389">
        <v>70000</v>
      </c>
      <c r="E383" s="389"/>
      <c r="F383" s="389"/>
      <c r="G383" s="389"/>
      <c r="H383" s="389">
        <f t="shared" si="8"/>
        <v>70000</v>
      </c>
    </row>
    <row r="384" spans="1:8" x14ac:dyDescent="0.2">
      <c r="C384" s="117" t="s">
        <v>872</v>
      </c>
      <c r="D384" s="389"/>
      <c r="E384" s="389"/>
      <c r="F384" s="389"/>
      <c r="G384" s="389">
        <v>44900</v>
      </c>
      <c r="H384" s="389">
        <f t="shared" si="8"/>
        <v>44900</v>
      </c>
    </row>
    <row r="385" spans="1:8" x14ac:dyDescent="0.2">
      <c r="C385" s="117" t="s">
        <v>659</v>
      </c>
      <c r="D385" s="389">
        <v>70400</v>
      </c>
      <c r="E385" s="389"/>
      <c r="F385" s="389"/>
      <c r="G385" s="389">
        <v>10000</v>
      </c>
      <c r="H385" s="389">
        <f t="shared" ref="H385:H443" si="9">SUM(D385:G385)</f>
        <v>80400</v>
      </c>
    </row>
    <row r="386" spans="1:8" x14ac:dyDescent="0.2">
      <c r="C386" s="96"/>
      <c r="D386" s="72"/>
      <c r="E386" s="72"/>
      <c r="F386" s="72"/>
      <c r="G386" s="72"/>
      <c r="H386" s="72">
        <f t="shared" si="9"/>
        <v>0</v>
      </c>
    </row>
    <row r="387" spans="1:8" x14ac:dyDescent="0.2">
      <c r="C387" s="96"/>
      <c r="D387" s="72"/>
      <c r="E387" s="72"/>
      <c r="F387" s="72"/>
      <c r="G387" s="72"/>
      <c r="H387" s="72">
        <f t="shared" si="9"/>
        <v>0</v>
      </c>
    </row>
    <row r="388" spans="1:8" x14ac:dyDescent="0.2">
      <c r="A388" s="6" t="s">
        <v>681</v>
      </c>
      <c r="B388" s="6" t="s">
        <v>207</v>
      </c>
      <c r="C388" s="90" t="s">
        <v>216</v>
      </c>
      <c r="D388" s="72">
        <f>D390+D391+D393+D396</f>
        <v>596490</v>
      </c>
      <c r="E388" s="72"/>
      <c r="F388" s="72">
        <f>F390+F391+F393+F396+F395</f>
        <v>23200</v>
      </c>
      <c r="G388" s="72">
        <f>G390+G391+G393+G396+G395</f>
        <v>-11364</v>
      </c>
      <c r="H388" s="72">
        <f t="shared" si="9"/>
        <v>608326</v>
      </c>
    </row>
    <row r="389" spans="1:8" x14ac:dyDescent="0.2">
      <c r="C389" s="93" t="s">
        <v>187</v>
      </c>
      <c r="D389" s="411">
        <f>D392+D394</f>
        <v>4152</v>
      </c>
      <c r="E389" s="411"/>
      <c r="F389" s="411"/>
      <c r="G389" s="411"/>
      <c r="H389" s="411">
        <f t="shared" si="9"/>
        <v>4152</v>
      </c>
    </row>
    <row r="390" spans="1:8" x14ac:dyDescent="0.2">
      <c r="C390" s="106" t="s">
        <v>447</v>
      </c>
      <c r="D390" s="415">
        <v>37000</v>
      </c>
      <c r="E390" s="415"/>
      <c r="F390" s="415"/>
      <c r="G390" s="415"/>
      <c r="H390" s="415">
        <f t="shared" si="9"/>
        <v>37000</v>
      </c>
    </row>
    <row r="391" spans="1:8" x14ac:dyDescent="0.2">
      <c r="C391" s="106" t="s">
        <v>445</v>
      </c>
      <c r="D391" s="415">
        <v>85500</v>
      </c>
      <c r="E391" s="415"/>
      <c r="F391" s="415"/>
      <c r="G391" s="415">
        <v>-2743</v>
      </c>
      <c r="H391" s="415">
        <f t="shared" si="9"/>
        <v>82757</v>
      </c>
    </row>
    <row r="392" spans="1:8" x14ac:dyDescent="0.2">
      <c r="C392" s="160" t="s">
        <v>187</v>
      </c>
      <c r="D392" s="415">
        <v>3192</v>
      </c>
      <c r="E392" s="415"/>
      <c r="F392" s="415"/>
      <c r="G392" s="415"/>
      <c r="H392" s="415">
        <f t="shared" si="9"/>
        <v>3192</v>
      </c>
    </row>
    <row r="393" spans="1:8" x14ac:dyDescent="0.2">
      <c r="C393" s="106" t="s">
        <v>499</v>
      </c>
      <c r="D393" s="415">
        <v>1290</v>
      </c>
      <c r="E393" s="415"/>
      <c r="F393" s="415"/>
      <c r="G393" s="415"/>
      <c r="H393" s="415">
        <f t="shared" si="9"/>
        <v>1290</v>
      </c>
    </row>
    <row r="394" spans="1:8" x14ac:dyDescent="0.2">
      <c r="C394" s="160" t="s">
        <v>187</v>
      </c>
      <c r="D394" s="415">
        <v>960</v>
      </c>
      <c r="E394" s="415"/>
      <c r="F394" s="415"/>
      <c r="G394" s="415"/>
      <c r="H394" s="415">
        <f t="shared" si="9"/>
        <v>960</v>
      </c>
    </row>
    <row r="395" spans="1:8" x14ac:dyDescent="0.2">
      <c r="C395" s="106" t="s">
        <v>604</v>
      </c>
      <c r="D395" s="415"/>
      <c r="E395" s="415"/>
      <c r="F395" s="415">
        <v>44000</v>
      </c>
      <c r="G395" s="415">
        <f>2000+1379</f>
        <v>3379</v>
      </c>
      <c r="H395" s="415">
        <f t="shared" si="9"/>
        <v>47379</v>
      </c>
    </row>
    <row r="396" spans="1:8" x14ac:dyDescent="0.2">
      <c r="C396" s="98" t="s">
        <v>510</v>
      </c>
      <c r="D396" s="411">
        <f>SUM(D397:D402)</f>
        <v>472700</v>
      </c>
      <c r="E396" s="411"/>
      <c r="F396" s="411">
        <f>SUM(F397:F402)</f>
        <v>-20800</v>
      </c>
      <c r="G396" s="411">
        <f>SUM(G397:G402)</f>
        <v>-12000</v>
      </c>
      <c r="H396" s="411">
        <f t="shared" si="9"/>
        <v>439900</v>
      </c>
    </row>
    <row r="397" spans="1:8" x14ac:dyDescent="0.2">
      <c r="C397" s="146" t="s">
        <v>570</v>
      </c>
      <c r="D397" s="416">
        <v>273700</v>
      </c>
      <c r="E397" s="416"/>
      <c r="F397" s="416">
        <v>23200</v>
      </c>
      <c r="G397" s="416"/>
      <c r="H397" s="416">
        <f t="shared" si="9"/>
        <v>296900</v>
      </c>
    </row>
    <row r="398" spans="1:8" x14ac:dyDescent="0.2">
      <c r="C398" s="168" t="s">
        <v>511</v>
      </c>
      <c r="D398" s="426">
        <v>36000</v>
      </c>
      <c r="E398" s="426"/>
      <c r="F398" s="426"/>
      <c r="G398" s="426">
        <v>-12000</v>
      </c>
      <c r="H398" s="426">
        <f t="shared" si="9"/>
        <v>24000</v>
      </c>
    </row>
    <row r="399" spans="1:8" x14ac:dyDescent="0.2">
      <c r="C399" s="168" t="s">
        <v>512</v>
      </c>
      <c r="D399" s="426">
        <v>5000</v>
      </c>
      <c r="E399" s="426"/>
      <c r="F399" s="426"/>
      <c r="G399" s="426"/>
      <c r="H399" s="426">
        <f t="shared" si="9"/>
        <v>5000</v>
      </c>
    </row>
    <row r="400" spans="1:8" x14ac:dyDescent="0.2">
      <c r="C400" s="168" t="s">
        <v>498</v>
      </c>
      <c r="D400" s="426">
        <v>100000</v>
      </c>
      <c r="E400" s="426"/>
      <c r="F400" s="426"/>
      <c r="G400" s="426"/>
      <c r="H400" s="426">
        <f t="shared" si="9"/>
        <v>100000</v>
      </c>
    </row>
    <row r="401" spans="1:8" x14ac:dyDescent="0.2">
      <c r="C401" s="168" t="s">
        <v>446</v>
      </c>
      <c r="D401" s="426">
        <v>14000</v>
      </c>
      <c r="E401" s="426"/>
      <c r="F401" s="426"/>
      <c r="G401" s="426"/>
      <c r="H401" s="426">
        <f t="shared" si="9"/>
        <v>14000</v>
      </c>
    </row>
    <row r="402" spans="1:8" x14ac:dyDescent="0.2">
      <c r="C402" s="168" t="s">
        <v>604</v>
      </c>
      <c r="D402" s="426">
        <v>44000</v>
      </c>
      <c r="E402" s="426"/>
      <c r="F402" s="426">
        <v>-44000</v>
      </c>
      <c r="G402" s="426"/>
      <c r="H402" s="426">
        <f t="shared" si="9"/>
        <v>0</v>
      </c>
    </row>
    <row r="403" spans="1:8" x14ac:dyDescent="0.2">
      <c r="C403" s="106"/>
      <c r="D403" s="415"/>
      <c r="E403" s="415"/>
      <c r="F403" s="415"/>
      <c r="G403" s="415"/>
      <c r="H403" s="415">
        <f t="shared" si="9"/>
        <v>0</v>
      </c>
    </row>
    <row r="404" spans="1:8" x14ac:dyDescent="0.2">
      <c r="A404" s="6" t="s">
        <v>680</v>
      </c>
      <c r="B404" s="6" t="s">
        <v>207</v>
      </c>
      <c r="C404" s="90" t="s">
        <v>66</v>
      </c>
      <c r="D404" s="72">
        <v>64000</v>
      </c>
      <c r="E404" s="72"/>
      <c r="F404" s="72"/>
      <c r="G404" s="72"/>
      <c r="H404" s="72">
        <f t="shared" si="9"/>
        <v>64000</v>
      </c>
    </row>
    <row r="405" spans="1:8" x14ac:dyDescent="0.2">
      <c r="C405" s="90"/>
      <c r="D405" s="72"/>
      <c r="E405" s="72"/>
      <c r="F405" s="72"/>
      <c r="G405" s="72"/>
      <c r="H405" s="72">
        <f t="shared" si="9"/>
        <v>0</v>
      </c>
    </row>
    <row r="406" spans="1:8" ht="15.75" x14ac:dyDescent="0.2">
      <c r="C406" s="118" t="s">
        <v>176</v>
      </c>
      <c r="D406" s="407"/>
      <c r="E406" s="407"/>
      <c r="F406" s="407"/>
      <c r="G406" s="407"/>
      <c r="H406" s="407">
        <f t="shared" si="9"/>
        <v>0</v>
      </c>
    </row>
    <row r="407" spans="1:8" x14ac:dyDescent="0.2">
      <c r="C407" s="119"/>
      <c r="D407" s="190"/>
      <c r="E407" s="190"/>
      <c r="F407" s="190"/>
      <c r="G407" s="190"/>
      <c r="H407" s="190">
        <f t="shared" si="9"/>
        <v>0</v>
      </c>
    </row>
    <row r="408" spans="1:8" x14ac:dyDescent="0.2">
      <c r="C408" s="108" t="s">
        <v>182</v>
      </c>
      <c r="D408" s="408">
        <f>D415+D532</f>
        <v>29193454</v>
      </c>
      <c r="E408" s="408">
        <f>E415+E532</f>
        <v>342455</v>
      </c>
      <c r="F408" s="408">
        <f>F415+F532</f>
        <v>251190</v>
      </c>
      <c r="G408" s="408">
        <f>G415+G532</f>
        <v>266251</v>
      </c>
      <c r="H408" s="408">
        <f t="shared" si="9"/>
        <v>30053350</v>
      </c>
    </row>
    <row r="409" spans="1:8" x14ac:dyDescent="0.2">
      <c r="C409" s="79" t="s">
        <v>201</v>
      </c>
      <c r="D409" s="409">
        <v>1399000</v>
      </c>
      <c r="E409" s="409"/>
      <c r="F409" s="409"/>
      <c r="G409" s="409"/>
      <c r="H409" s="409">
        <f t="shared" si="9"/>
        <v>1399000</v>
      </c>
    </row>
    <row r="410" spans="1:8" x14ac:dyDescent="0.2">
      <c r="C410" s="109" t="s">
        <v>183</v>
      </c>
      <c r="D410" s="386">
        <f>D411+D412+D413</f>
        <v>29193454</v>
      </c>
      <c r="E410" s="386">
        <f>E411+E412+E413</f>
        <v>342455</v>
      </c>
      <c r="F410" s="386">
        <f>F411+F412+F413</f>
        <v>251190</v>
      </c>
      <c r="G410" s="386">
        <f>G411+G412+G413</f>
        <v>266251</v>
      </c>
      <c r="H410" s="386">
        <f t="shared" si="9"/>
        <v>30053350</v>
      </c>
    </row>
    <row r="411" spans="1:8" x14ac:dyDescent="0.2">
      <c r="C411" s="110" t="s">
        <v>184</v>
      </c>
      <c r="D411" s="409">
        <f>'2.2 OMATULUD'!B305</f>
        <v>2371489</v>
      </c>
      <c r="E411" s="409"/>
      <c r="F411" s="409">
        <f>'2.2 OMATULUD'!C305</f>
        <v>49790</v>
      </c>
      <c r="G411" s="409">
        <v>75321</v>
      </c>
      <c r="H411" s="409">
        <f t="shared" si="9"/>
        <v>2496600</v>
      </c>
    </row>
    <row r="412" spans="1:8" x14ac:dyDescent="0.2">
      <c r="C412" s="111" t="s">
        <v>165</v>
      </c>
      <c r="D412" s="409">
        <f>'2.3 TOETUSED'!B43</f>
        <v>44600</v>
      </c>
      <c r="E412" s="409"/>
      <c r="F412" s="409"/>
      <c r="G412" s="409"/>
      <c r="H412" s="409">
        <f t="shared" si="9"/>
        <v>44600</v>
      </c>
    </row>
    <row r="413" spans="1:8" x14ac:dyDescent="0.2">
      <c r="C413" s="111" t="s">
        <v>185</v>
      </c>
      <c r="D413" s="409">
        <f>D408-D411-D412</f>
        <v>26777365</v>
      </c>
      <c r="E413" s="409">
        <f>E408-E411-E412</f>
        <v>342455</v>
      </c>
      <c r="F413" s="409">
        <f>F408-F411-F412</f>
        <v>201400</v>
      </c>
      <c r="G413" s="409">
        <f>G408-G411-G412</f>
        <v>190930</v>
      </c>
      <c r="H413" s="409">
        <f t="shared" si="9"/>
        <v>27512150</v>
      </c>
    </row>
    <row r="414" spans="1:8" x14ac:dyDescent="0.2">
      <c r="C414" s="96"/>
      <c r="D414" s="72"/>
      <c r="E414" s="72"/>
      <c r="F414" s="72"/>
      <c r="G414" s="72"/>
      <c r="H414" s="72">
        <f t="shared" si="9"/>
        <v>0</v>
      </c>
    </row>
    <row r="415" spans="1:8" ht="15" x14ac:dyDescent="0.2">
      <c r="A415" s="6" t="s">
        <v>682</v>
      </c>
      <c r="B415" s="6" t="s">
        <v>176</v>
      </c>
      <c r="C415" s="114" t="s">
        <v>217</v>
      </c>
      <c r="D415" s="384">
        <f>D416+D447+D462+D500</f>
        <v>12530994</v>
      </c>
      <c r="E415" s="384">
        <f>E416+E447+E462+E500</f>
        <v>317808</v>
      </c>
      <c r="F415" s="384">
        <f>F416+F447+F462+F500</f>
        <v>231645</v>
      </c>
      <c r="G415" s="384">
        <f>G416+G447+G462+G500</f>
        <v>126350</v>
      </c>
      <c r="H415" s="384">
        <f t="shared" si="9"/>
        <v>13206797</v>
      </c>
    </row>
    <row r="416" spans="1:8" x14ac:dyDescent="0.2">
      <c r="C416" s="112" t="s">
        <v>218</v>
      </c>
      <c r="D416" s="283">
        <f>D419+D422+D426+D430+D433+D436+D440+D444</f>
        <v>3859399</v>
      </c>
      <c r="E416" s="283">
        <f>E419+E422+E426+E430+E433+E436+E440+E444</f>
        <v>118512</v>
      </c>
      <c r="F416" s="283">
        <f>F419+F422+F426+F430+F433+F436+F440+F444</f>
        <v>137715</v>
      </c>
      <c r="G416" s="283">
        <f>G419+G422+G426+G430+G433+G436+G440+G444</f>
        <v>129700</v>
      </c>
      <c r="H416" s="283">
        <f t="shared" si="9"/>
        <v>4245326</v>
      </c>
    </row>
    <row r="417" spans="3:8" x14ac:dyDescent="0.2">
      <c r="C417" s="98" t="s">
        <v>187</v>
      </c>
      <c r="D417" s="411">
        <f>D437+D445+D427</f>
        <v>1393400</v>
      </c>
      <c r="E417" s="411">
        <f>E437+E445+E427</f>
        <v>88573</v>
      </c>
      <c r="F417" s="411">
        <f>F427+F437+F445</f>
        <v>96150</v>
      </c>
      <c r="G417" s="411">
        <f>G427+G437+G445+G423</f>
        <v>28178</v>
      </c>
      <c r="H417" s="411">
        <f t="shared" si="9"/>
        <v>1606301</v>
      </c>
    </row>
    <row r="418" spans="3:8" x14ac:dyDescent="0.2">
      <c r="C418" s="115" t="s">
        <v>194</v>
      </c>
      <c r="D418" s="283"/>
      <c r="E418" s="283"/>
      <c r="F418" s="283"/>
      <c r="G418" s="283"/>
      <c r="H418" s="283">
        <f t="shared" si="9"/>
        <v>0</v>
      </c>
    </row>
    <row r="419" spans="3:8" x14ac:dyDescent="0.2">
      <c r="C419" s="116" t="s">
        <v>67</v>
      </c>
      <c r="D419" s="419">
        <v>1065000</v>
      </c>
      <c r="E419" s="419"/>
      <c r="F419" s="419"/>
      <c r="G419" s="419">
        <v>83509</v>
      </c>
      <c r="H419" s="419">
        <f t="shared" si="9"/>
        <v>1148509</v>
      </c>
    </row>
    <row r="420" spans="3:8" x14ac:dyDescent="0.2">
      <c r="C420" s="121"/>
      <c r="D420" s="419"/>
      <c r="E420" s="419"/>
      <c r="F420" s="419"/>
      <c r="G420" s="419"/>
      <c r="H420" s="419">
        <f t="shared" si="9"/>
        <v>0</v>
      </c>
    </row>
    <row r="421" spans="3:8" x14ac:dyDescent="0.2">
      <c r="C421" s="115" t="s">
        <v>194</v>
      </c>
      <c r="D421" s="283"/>
      <c r="E421" s="283"/>
      <c r="F421" s="283"/>
      <c r="G421" s="283"/>
      <c r="H421" s="283">
        <f t="shared" si="9"/>
        <v>0</v>
      </c>
    </row>
    <row r="422" spans="3:8" x14ac:dyDescent="0.2">
      <c r="C422" s="116" t="s">
        <v>68</v>
      </c>
      <c r="D422" s="419">
        <v>37100</v>
      </c>
      <c r="E422" s="419"/>
      <c r="F422" s="419"/>
      <c r="G422" s="419"/>
      <c r="H422" s="419">
        <f t="shared" si="9"/>
        <v>37100</v>
      </c>
    </row>
    <row r="423" spans="3:8" x14ac:dyDescent="0.2">
      <c r="C423" s="103" t="s">
        <v>187</v>
      </c>
      <c r="D423" s="419"/>
      <c r="E423" s="419"/>
      <c r="F423" s="419"/>
      <c r="G423" s="411">
        <v>684</v>
      </c>
      <c r="H423" s="419">
        <f t="shared" si="9"/>
        <v>684</v>
      </c>
    </row>
    <row r="424" spans="3:8" x14ac:dyDescent="0.2">
      <c r="C424" s="121"/>
      <c r="D424" s="419"/>
      <c r="E424" s="419"/>
      <c r="F424" s="419"/>
      <c r="G424" s="419"/>
      <c r="H424" s="419">
        <f t="shared" si="9"/>
        <v>0</v>
      </c>
    </row>
    <row r="425" spans="3:8" x14ac:dyDescent="0.2">
      <c r="C425" s="115" t="s">
        <v>194</v>
      </c>
      <c r="D425" s="283"/>
      <c r="E425" s="283"/>
      <c r="F425" s="283"/>
      <c r="G425" s="283"/>
      <c r="H425" s="283">
        <f t="shared" si="9"/>
        <v>0</v>
      </c>
    </row>
    <row r="426" spans="3:8" x14ac:dyDescent="0.2">
      <c r="C426" s="116" t="s">
        <v>69</v>
      </c>
      <c r="D426" s="419">
        <v>454600</v>
      </c>
      <c r="E426" s="419"/>
      <c r="F426" s="419">
        <v>103000</v>
      </c>
      <c r="G426" s="419"/>
      <c r="H426" s="419">
        <f t="shared" si="9"/>
        <v>557600</v>
      </c>
    </row>
    <row r="427" spans="3:8" x14ac:dyDescent="0.2">
      <c r="C427" s="103" t="s">
        <v>187</v>
      </c>
      <c r="D427" s="411">
        <v>180357</v>
      </c>
      <c r="E427" s="411"/>
      <c r="F427" s="411">
        <v>86673</v>
      </c>
      <c r="G427" s="411">
        <v>19924</v>
      </c>
      <c r="H427" s="411">
        <f t="shared" si="9"/>
        <v>286954</v>
      </c>
    </row>
    <row r="428" spans="3:8" x14ac:dyDescent="0.2">
      <c r="C428" s="121"/>
      <c r="D428" s="419"/>
      <c r="E428" s="419"/>
      <c r="F428" s="419"/>
      <c r="G428" s="419"/>
      <c r="H428" s="419">
        <f t="shared" si="9"/>
        <v>0</v>
      </c>
    </row>
    <row r="429" spans="3:8" x14ac:dyDescent="0.2">
      <c r="C429" s="115" t="s">
        <v>194</v>
      </c>
      <c r="D429" s="283"/>
      <c r="E429" s="283"/>
      <c r="F429" s="283"/>
      <c r="G429" s="283"/>
      <c r="H429" s="283">
        <f t="shared" si="9"/>
        <v>0</v>
      </c>
    </row>
    <row r="430" spans="3:8" x14ac:dyDescent="0.2">
      <c r="C430" s="116" t="s">
        <v>70</v>
      </c>
      <c r="D430" s="419">
        <v>167865</v>
      </c>
      <c r="E430" s="419"/>
      <c r="F430" s="419"/>
      <c r="G430" s="419"/>
      <c r="H430" s="419">
        <f t="shared" si="9"/>
        <v>167865</v>
      </c>
    </row>
    <row r="431" spans="3:8" x14ac:dyDescent="0.2">
      <c r="C431" s="266"/>
      <c r="D431" s="431"/>
      <c r="E431" s="431"/>
      <c r="F431" s="431"/>
      <c r="G431" s="431"/>
      <c r="H431" s="431">
        <f t="shared" si="9"/>
        <v>0</v>
      </c>
    </row>
    <row r="432" spans="3:8" x14ac:dyDescent="0.2">
      <c r="C432" s="115" t="s">
        <v>194</v>
      </c>
      <c r="D432" s="283"/>
      <c r="E432" s="283"/>
      <c r="F432" s="283"/>
      <c r="G432" s="283"/>
      <c r="H432" s="283">
        <f t="shared" si="9"/>
        <v>0</v>
      </c>
    </row>
    <row r="433" spans="3:8" x14ac:dyDescent="0.2">
      <c r="C433" s="116" t="s">
        <v>71</v>
      </c>
      <c r="D433" s="419">
        <v>14575</v>
      </c>
      <c r="E433" s="419"/>
      <c r="F433" s="419"/>
      <c r="G433" s="419"/>
      <c r="H433" s="419">
        <f t="shared" si="9"/>
        <v>14575</v>
      </c>
    </row>
    <row r="434" spans="3:8" x14ac:dyDescent="0.2">
      <c r="C434" s="96"/>
      <c r="D434" s="72"/>
      <c r="E434" s="72"/>
      <c r="F434" s="72"/>
      <c r="G434" s="72"/>
      <c r="H434" s="72">
        <f t="shared" si="9"/>
        <v>0</v>
      </c>
    </row>
    <row r="435" spans="3:8" x14ac:dyDescent="0.2">
      <c r="C435" s="115" t="s">
        <v>194</v>
      </c>
      <c r="D435" s="283"/>
      <c r="E435" s="283"/>
      <c r="F435" s="283"/>
      <c r="G435" s="283"/>
      <c r="H435" s="283">
        <f t="shared" si="9"/>
        <v>0</v>
      </c>
    </row>
    <row r="436" spans="3:8" ht="35.25" x14ac:dyDescent="0.2">
      <c r="C436" s="116" t="s">
        <v>526</v>
      </c>
      <c r="D436" s="419">
        <v>1753294</v>
      </c>
      <c r="E436" s="419">
        <v>112436</v>
      </c>
      <c r="F436" s="419">
        <v>23740</v>
      </c>
      <c r="G436" s="419">
        <v>25070</v>
      </c>
      <c r="H436" s="419">
        <f t="shared" si="9"/>
        <v>1914540</v>
      </c>
    </row>
    <row r="437" spans="3:8" x14ac:dyDescent="0.2">
      <c r="C437" s="103" t="s">
        <v>187</v>
      </c>
      <c r="D437" s="411">
        <v>1014935</v>
      </c>
      <c r="E437" s="411">
        <v>84032</v>
      </c>
      <c r="F437" s="411"/>
      <c r="G437" s="411"/>
      <c r="H437" s="411">
        <f t="shared" si="9"/>
        <v>1098967</v>
      </c>
    </row>
    <row r="438" spans="3:8" x14ac:dyDescent="0.2">
      <c r="C438" s="121"/>
      <c r="D438" s="419"/>
      <c r="E438" s="419"/>
      <c r="F438" s="419"/>
      <c r="G438" s="419"/>
      <c r="H438" s="419">
        <f t="shared" si="9"/>
        <v>0</v>
      </c>
    </row>
    <row r="439" spans="3:8" x14ac:dyDescent="0.2">
      <c r="C439" s="115" t="s">
        <v>194</v>
      </c>
      <c r="D439" s="283"/>
      <c r="E439" s="283"/>
      <c r="F439" s="283"/>
      <c r="G439" s="283"/>
      <c r="H439" s="283">
        <f t="shared" si="9"/>
        <v>0</v>
      </c>
    </row>
    <row r="440" spans="3:8" ht="25.5" x14ac:dyDescent="0.2">
      <c r="C440" s="116" t="s">
        <v>219</v>
      </c>
      <c r="D440" s="419">
        <v>30015</v>
      </c>
      <c r="E440" s="419"/>
      <c r="F440" s="419"/>
      <c r="G440" s="419"/>
      <c r="H440" s="419">
        <f t="shared" si="9"/>
        <v>30015</v>
      </c>
    </row>
    <row r="441" spans="3:8" x14ac:dyDescent="0.2">
      <c r="C441" s="103" t="s">
        <v>507</v>
      </c>
      <c r="D441" s="411">
        <v>9240</v>
      </c>
      <c r="E441" s="411"/>
      <c r="F441" s="411"/>
      <c r="G441" s="411"/>
      <c r="H441" s="411">
        <f t="shared" si="9"/>
        <v>9240</v>
      </c>
    </row>
    <row r="442" spans="3:8" x14ac:dyDescent="0.2">
      <c r="C442" s="121"/>
      <c r="D442" s="419"/>
      <c r="E442" s="419"/>
      <c r="F442" s="419"/>
      <c r="G442" s="419"/>
      <c r="H442" s="419">
        <f t="shared" si="9"/>
        <v>0</v>
      </c>
    </row>
    <row r="443" spans="3:8" x14ac:dyDescent="0.2">
      <c r="C443" s="115" t="s">
        <v>194</v>
      </c>
      <c r="D443" s="283"/>
      <c r="E443" s="283"/>
      <c r="F443" s="283"/>
      <c r="G443" s="283"/>
      <c r="H443" s="283">
        <f t="shared" si="9"/>
        <v>0</v>
      </c>
    </row>
    <row r="444" spans="3:8" ht="25.5" x14ac:dyDescent="0.2">
      <c r="C444" s="116" t="s">
        <v>527</v>
      </c>
      <c r="D444" s="419">
        <v>336950</v>
      </c>
      <c r="E444" s="419">
        <v>6076</v>
      </c>
      <c r="F444" s="419">
        <v>10975</v>
      </c>
      <c r="G444" s="419">
        <v>21121</v>
      </c>
      <c r="H444" s="419">
        <f t="shared" ref="H444:H504" si="10">SUM(D444:G444)</f>
        <v>375122</v>
      </c>
    </row>
    <row r="445" spans="3:8" x14ac:dyDescent="0.2">
      <c r="C445" s="103" t="s">
        <v>187</v>
      </c>
      <c r="D445" s="411">
        <v>198108</v>
      </c>
      <c r="E445" s="411">
        <v>4541</v>
      </c>
      <c r="F445" s="411">
        <v>9477</v>
      </c>
      <c r="G445" s="411">
        <v>7570</v>
      </c>
      <c r="H445" s="411">
        <f t="shared" si="10"/>
        <v>219696</v>
      </c>
    </row>
    <row r="446" spans="3:8" x14ac:dyDescent="0.2">
      <c r="C446" s="123"/>
      <c r="D446" s="432"/>
      <c r="E446" s="432"/>
      <c r="F446" s="432"/>
      <c r="G446" s="432"/>
      <c r="H446" s="432">
        <f t="shared" si="10"/>
        <v>0</v>
      </c>
    </row>
    <row r="447" spans="3:8" x14ac:dyDescent="0.2">
      <c r="C447" s="112" t="s">
        <v>220</v>
      </c>
      <c r="D447" s="283">
        <f>D450+D454+D457+D460</f>
        <v>4354425</v>
      </c>
      <c r="E447" s="283">
        <f>E450+E454+E457+E460</f>
        <v>75486</v>
      </c>
      <c r="F447" s="283">
        <f>F450+F454+F457+F460</f>
        <v>0</v>
      </c>
      <c r="G447" s="283">
        <f>G450+G454+G457+G460</f>
        <v>17000</v>
      </c>
      <c r="H447" s="283">
        <f t="shared" si="10"/>
        <v>4446911</v>
      </c>
    </row>
    <row r="448" spans="3:8" x14ac:dyDescent="0.2">
      <c r="C448" s="98" t="s">
        <v>187</v>
      </c>
      <c r="D448" s="411">
        <f>D451</f>
        <v>1176791</v>
      </c>
      <c r="E448" s="411">
        <f t="shared" ref="E448" si="11">E451</f>
        <v>56417</v>
      </c>
      <c r="F448" s="411">
        <f>F451</f>
        <v>0</v>
      </c>
      <c r="G448" s="411">
        <f>G451</f>
        <v>27600</v>
      </c>
      <c r="H448" s="411">
        <f t="shared" si="10"/>
        <v>1260808</v>
      </c>
    </row>
    <row r="449" spans="3:8" x14ac:dyDescent="0.2">
      <c r="C449" s="115" t="s">
        <v>194</v>
      </c>
      <c r="D449" s="283"/>
      <c r="E449" s="283"/>
      <c r="F449" s="283"/>
      <c r="G449" s="283"/>
      <c r="H449" s="283">
        <f t="shared" si="10"/>
        <v>0</v>
      </c>
    </row>
    <row r="450" spans="3:8" ht="24" x14ac:dyDescent="0.2">
      <c r="C450" s="116" t="s">
        <v>528</v>
      </c>
      <c r="D450" s="419">
        <f>4193115-10000</f>
        <v>4183115</v>
      </c>
      <c r="E450" s="419">
        <v>75486</v>
      </c>
      <c r="F450" s="419">
        <v>-2242</v>
      </c>
      <c r="G450" s="419">
        <v>27000</v>
      </c>
      <c r="H450" s="419">
        <f t="shared" si="10"/>
        <v>4283359</v>
      </c>
    </row>
    <row r="451" spans="3:8" x14ac:dyDescent="0.2">
      <c r="C451" s="103" t="s">
        <v>187</v>
      </c>
      <c r="D451" s="411">
        <v>1176791</v>
      </c>
      <c r="E451" s="411">
        <v>56417</v>
      </c>
      <c r="F451" s="411"/>
      <c r="G451" s="411">
        <v>27600</v>
      </c>
      <c r="H451" s="411">
        <f t="shared" si="10"/>
        <v>1260808</v>
      </c>
    </row>
    <row r="452" spans="3:8" s="304" customFormat="1" ht="12" x14ac:dyDescent="0.2">
      <c r="C452" s="311"/>
      <c r="D452" s="385"/>
      <c r="E452" s="385"/>
      <c r="F452" s="385"/>
      <c r="G452" s="385"/>
      <c r="H452" s="385">
        <f t="shared" si="10"/>
        <v>0</v>
      </c>
    </row>
    <row r="453" spans="3:8" x14ac:dyDescent="0.2">
      <c r="C453" s="115" t="s">
        <v>194</v>
      </c>
      <c r="D453" s="283"/>
      <c r="E453" s="283"/>
      <c r="F453" s="283"/>
      <c r="G453" s="283"/>
      <c r="H453" s="283">
        <f t="shared" si="10"/>
        <v>0</v>
      </c>
    </row>
    <row r="454" spans="3:8" ht="25.5" x14ac:dyDescent="0.2">
      <c r="C454" s="116" t="s">
        <v>72</v>
      </c>
      <c r="D454" s="419">
        <v>24670</v>
      </c>
      <c r="E454" s="419"/>
      <c r="F454" s="419">
        <v>2242</v>
      </c>
      <c r="G454" s="419"/>
      <c r="H454" s="419">
        <f t="shared" si="10"/>
        <v>26912</v>
      </c>
    </row>
    <row r="455" spans="3:8" x14ac:dyDescent="0.2">
      <c r="C455" s="120"/>
      <c r="D455" s="431"/>
      <c r="E455" s="431"/>
      <c r="F455" s="431"/>
      <c r="G455" s="431"/>
      <c r="H455" s="431">
        <f t="shared" si="10"/>
        <v>0</v>
      </c>
    </row>
    <row r="456" spans="3:8" x14ac:dyDescent="0.2">
      <c r="C456" s="115" t="s">
        <v>194</v>
      </c>
      <c r="D456" s="283"/>
      <c r="E456" s="283"/>
      <c r="F456" s="283"/>
      <c r="G456" s="283"/>
      <c r="H456" s="283">
        <f t="shared" si="10"/>
        <v>0</v>
      </c>
    </row>
    <row r="457" spans="3:8" x14ac:dyDescent="0.2">
      <c r="C457" s="116" t="s">
        <v>82</v>
      </c>
      <c r="D457" s="419">
        <v>131700</v>
      </c>
      <c r="E457" s="419"/>
      <c r="F457" s="419"/>
      <c r="G457" s="419">
        <v>-10000</v>
      </c>
      <c r="H457" s="419">
        <f t="shared" si="10"/>
        <v>121700</v>
      </c>
    </row>
    <row r="458" spans="3:8" x14ac:dyDescent="0.2">
      <c r="C458" s="120"/>
      <c r="D458" s="431"/>
      <c r="E458" s="431"/>
      <c r="F458" s="431"/>
      <c r="G458" s="431"/>
      <c r="H458" s="431">
        <f t="shared" si="10"/>
        <v>0</v>
      </c>
    </row>
    <row r="459" spans="3:8" x14ac:dyDescent="0.2">
      <c r="C459" s="115" t="s">
        <v>194</v>
      </c>
      <c r="D459" s="283"/>
      <c r="E459" s="283"/>
      <c r="F459" s="283"/>
      <c r="G459" s="283"/>
      <c r="H459" s="283">
        <f t="shared" si="10"/>
        <v>0</v>
      </c>
    </row>
    <row r="460" spans="3:8" x14ac:dyDescent="0.2">
      <c r="C460" s="116" t="s">
        <v>448</v>
      </c>
      <c r="D460" s="419">
        <v>14940</v>
      </c>
      <c r="E460" s="419"/>
      <c r="F460" s="419"/>
      <c r="G460" s="419"/>
      <c r="H460" s="419">
        <f t="shared" si="10"/>
        <v>14940</v>
      </c>
    </row>
    <row r="461" spans="3:8" x14ac:dyDescent="0.2">
      <c r="C461" s="120"/>
      <c r="D461" s="431"/>
      <c r="E461" s="431"/>
      <c r="F461" s="431"/>
      <c r="G461" s="431"/>
      <c r="H461" s="431">
        <f t="shared" si="10"/>
        <v>0</v>
      </c>
    </row>
    <row r="462" spans="3:8" x14ac:dyDescent="0.2">
      <c r="C462" s="112" t="s">
        <v>221</v>
      </c>
      <c r="D462" s="283">
        <f>D465+D468+D472+D476+D481+D485+D489+D493+D497</f>
        <v>3100030</v>
      </c>
      <c r="E462" s="283">
        <f>E465+E468+E472+E476+E481+E485+E489+E493+E497</f>
        <v>98923</v>
      </c>
      <c r="F462" s="283">
        <f>F465+F468+F472+F476+F481+F485+F489+F493+F497</f>
        <v>85230</v>
      </c>
      <c r="G462" s="283">
        <f>G465+G468+G472+G476+G481+G485+G489+G493+G497</f>
        <v>-20549</v>
      </c>
      <c r="H462" s="283">
        <f t="shared" si="10"/>
        <v>3263634</v>
      </c>
    </row>
    <row r="463" spans="3:8" x14ac:dyDescent="0.2">
      <c r="C463" s="98" t="s">
        <v>187</v>
      </c>
      <c r="D463" s="411">
        <f>D469+D473+D477+D482+D486+D490+D494+D498</f>
        <v>1745615</v>
      </c>
      <c r="E463" s="411">
        <f>E469+E473+E477+E482+E486+E490+E494+E498</f>
        <v>73931</v>
      </c>
      <c r="F463" s="411">
        <f>F469+F473+F477+F482+F486+F490+F494+F498</f>
        <v>8970</v>
      </c>
      <c r="G463" s="411">
        <f>G469+G473+G477+G482+G486+G490+G494+G498</f>
        <v>805</v>
      </c>
      <c r="H463" s="411">
        <f t="shared" si="10"/>
        <v>1829321</v>
      </c>
    </row>
    <row r="464" spans="3:8" x14ac:dyDescent="0.2">
      <c r="C464" s="115" t="s">
        <v>194</v>
      </c>
      <c r="D464" s="283"/>
      <c r="E464" s="283"/>
      <c r="F464" s="283"/>
      <c r="G464" s="283"/>
      <c r="H464" s="283">
        <f t="shared" si="10"/>
        <v>0</v>
      </c>
    </row>
    <row r="465" spans="3:8" x14ac:dyDescent="0.2">
      <c r="C465" s="116" t="s">
        <v>73</v>
      </c>
      <c r="D465" s="419">
        <v>37130</v>
      </c>
      <c r="E465" s="419"/>
      <c r="F465" s="419"/>
      <c r="G465" s="419"/>
      <c r="H465" s="419">
        <f t="shared" si="10"/>
        <v>37130</v>
      </c>
    </row>
    <row r="466" spans="3:8" x14ac:dyDescent="0.2">
      <c r="C466" s="121"/>
      <c r="D466" s="419"/>
      <c r="E466" s="419"/>
      <c r="F466" s="419"/>
      <c r="G466" s="419"/>
      <c r="H466" s="419">
        <f t="shared" si="10"/>
        <v>0</v>
      </c>
    </row>
    <row r="467" spans="3:8" x14ac:dyDescent="0.2">
      <c r="C467" s="115" t="s">
        <v>194</v>
      </c>
      <c r="D467" s="283"/>
      <c r="E467" s="283"/>
      <c r="F467" s="283"/>
      <c r="G467" s="283"/>
      <c r="H467" s="283">
        <f t="shared" si="10"/>
        <v>0</v>
      </c>
    </row>
    <row r="468" spans="3:8" ht="24" x14ac:dyDescent="0.2">
      <c r="C468" s="116" t="s">
        <v>529</v>
      </c>
      <c r="D468" s="419">
        <v>365999</v>
      </c>
      <c r="E468" s="419">
        <v>12829</v>
      </c>
      <c r="F468" s="419"/>
      <c r="G468" s="419"/>
      <c r="H468" s="419">
        <f t="shared" si="10"/>
        <v>378828</v>
      </c>
    </row>
    <row r="469" spans="3:8" x14ac:dyDescent="0.2">
      <c r="C469" s="103" t="s">
        <v>187</v>
      </c>
      <c r="D469" s="411">
        <v>234679</v>
      </c>
      <c r="E469" s="411">
        <v>9588</v>
      </c>
      <c r="F469" s="411"/>
      <c r="G469" s="411"/>
      <c r="H469" s="411">
        <f t="shared" si="10"/>
        <v>244267</v>
      </c>
    </row>
    <row r="470" spans="3:8" x14ac:dyDescent="0.2">
      <c r="C470" s="267"/>
      <c r="D470" s="433"/>
      <c r="E470" s="433"/>
      <c r="F470" s="433"/>
      <c r="G470" s="433"/>
      <c r="H470" s="433">
        <f t="shared" si="10"/>
        <v>0</v>
      </c>
    </row>
    <row r="471" spans="3:8" x14ac:dyDescent="0.2">
      <c r="C471" s="115" t="s">
        <v>194</v>
      </c>
      <c r="D471" s="283"/>
      <c r="E471" s="283"/>
      <c r="F471" s="283"/>
      <c r="G471" s="283"/>
      <c r="H471" s="283">
        <f t="shared" si="10"/>
        <v>0</v>
      </c>
    </row>
    <row r="472" spans="3:8" x14ac:dyDescent="0.2">
      <c r="C472" s="116" t="s">
        <v>832</v>
      </c>
      <c r="D472" s="419">
        <v>43000</v>
      </c>
      <c r="E472" s="419">
        <v>1181</v>
      </c>
      <c r="F472" s="419"/>
      <c r="G472" s="419"/>
      <c r="H472" s="419">
        <f t="shared" si="10"/>
        <v>44181</v>
      </c>
    </row>
    <row r="473" spans="3:8" x14ac:dyDescent="0.2">
      <c r="C473" s="103" t="s">
        <v>187</v>
      </c>
      <c r="D473" s="411">
        <v>20676</v>
      </c>
      <c r="E473" s="411">
        <v>882</v>
      </c>
      <c r="F473" s="411"/>
      <c r="G473" s="411"/>
      <c r="H473" s="411">
        <f t="shared" si="10"/>
        <v>21558</v>
      </c>
    </row>
    <row r="474" spans="3:8" x14ac:dyDescent="0.2">
      <c r="C474" s="40"/>
      <c r="D474" s="283"/>
      <c r="E474" s="283"/>
      <c r="F474" s="283"/>
      <c r="G474" s="283"/>
      <c r="H474" s="283">
        <f t="shared" si="10"/>
        <v>0</v>
      </c>
    </row>
    <row r="475" spans="3:8" x14ac:dyDescent="0.2">
      <c r="C475" s="115" t="s">
        <v>194</v>
      </c>
      <c r="D475" s="283"/>
      <c r="E475" s="283"/>
      <c r="F475" s="283"/>
      <c r="G475" s="283"/>
      <c r="H475" s="283">
        <f t="shared" si="10"/>
        <v>0</v>
      </c>
    </row>
    <row r="476" spans="3:8" x14ac:dyDescent="0.2">
      <c r="C476" s="116" t="s">
        <v>741</v>
      </c>
      <c r="D476" s="419">
        <v>160070</v>
      </c>
      <c r="E476" s="419">
        <v>3775</v>
      </c>
      <c r="F476" s="419"/>
      <c r="G476" s="419"/>
      <c r="H476" s="419">
        <f t="shared" si="10"/>
        <v>163845</v>
      </c>
    </row>
    <row r="477" spans="3:8" x14ac:dyDescent="0.2">
      <c r="C477" s="103" t="s">
        <v>187</v>
      </c>
      <c r="D477" s="411">
        <v>39024</v>
      </c>
      <c r="E477" s="411">
        <v>2821</v>
      </c>
      <c r="F477" s="411"/>
      <c r="G477" s="411"/>
      <c r="H477" s="411">
        <f t="shared" si="10"/>
        <v>41845</v>
      </c>
    </row>
    <row r="478" spans="3:8" x14ac:dyDescent="0.2">
      <c r="C478" s="126" t="s">
        <v>41</v>
      </c>
      <c r="D478" s="411">
        <v>47934</v>
      </c>
      <c r="E478" s="411"/>
      <c r="F478" s="411"/>
      <c r="G478" s="411"/>
      <c r="H478" s="411">
        <f t="shared" si="10"/>
        <v>47934</v>
      </c>
    </row>
    <row r="479" spans="3:8" x14ac:dyDescent="0.2">
      <c r="C479" s="121"/>
      <c r="D479" s="419"/>
      <c r="E479" s="419"/>
      <c r="F479" s="419"/>
      <c r="G479" s="419"/>
      <c r="H479" s="419">
        <f t="shared" si="10"/>
        <v>0</v>
      </c>
    </row>
    <row r="480" spans="3:8" x14ac:dyDescent="0.2">
      <c r="C480" s="115" t="s">
        <v>194</v>
      </c>
      <c r="D480" s="283"/>
      <c r="E480" s="283"/>
      <c r="F480" s="283"/>
      <c r="G480" s="283"/>
      <c r="H480" s="283">
        <f t="shared" si="10"/>
        <v>0</v>
      </c>
    </row>
    <row r="481" spans="3:8" ht="36.75" x14ac:dyDescent="0.2">
      <c r="C481" s="116" t="s">
        <v>738</v>
      </c>
      <c r="D481" s="419">
        <v>447840</v>
      </c>
      <c r="E481" s="419">
        <v>14180</v>
      </c>
      <c r="F481" s="419">
        <v>7200</v>
      </c>
      <c r="G481" s="419"/>
      <c r="H481" s="419">
        <f t="shared" si="10"/>
        <v>469220</v>
      </c>
    </row>
    <row r="482" spans="3:8" x14ac:dyDescent="0.2">
      <c r="C482" s="103" t="s">
        <v>187</v>
      </c>
      <c r="D482" s="411">
        <v>229710</v>
      </c>
      <c r="E482" s="411">
        <v>10597</v>
      </c>
      <c r="F482" s="411"/>
      <c r="G482" s="411"/>
      <c r="H482" s="411">
        <f t="shared" si="10"/>
        <v>240307</v>
      </c>
    </row>
    <row r="483" spans="3:8" x14ac:dyDescent="0.2">
      <c r="C483" s="312"/>
      <c r="D483" s="434"/>
      <c r="E483" s="434"/>
      <c r="F483" s="434"/>
      <c r="G483" s="434"/>
      <c r="H483" s="434">
        <f t="shared" si="10"/>
        <v>0</v>
      </c>
    </row>
    <row r="484" spans="3:8" x14ac:dyDescent="0.2">
      <c r="C484" s="115" t="s">
        <v>194</v>
      </c>
      <c r="D484" s="283"/>
      <c r="E484" s="283"/>
      <c r="F484" s="283"/>
      <c r="G484" s="283"/>
      <c r="H484" s="283">
        <f t="shared" si="10"/>
        <v>0</v>
      </c>
    </row>
    <row r="485" spans="3:8" x14ac:dyDescent="0.2">
      <c r="C485" s="116" t="s">
        <v>74</v>
      </c>
      <c r="D485" s="419">
        <v>16045</v>
      </c>
      <c r="E485" s="419"/>
      <c r="F485" s="419"/>
      <c r="G485" s="419"/>
      <c r="H485" s="419">
        <f t="shared" si="10"/>
        <v>16045</v>
      </c>
    </row>
    <row r="486" spans="3:8" x14ac:dyDescent="0.2">
      <c r="C486" s="103" t="s">
        <v>187</v>
      </c>
      <c r="D486" s="411">
        <v>959</v>
      </c>
      <c r="E486" s="411"/>
      <c r="F486" s="411"/>
      <c r="G486" s="411">
        <v>-659</v>
      </c>
      <c r="H486" s="411">
        <f t="shared" si="10"/>
        <v>300</v>
      </c>
    </row>
    <row r="487" spans="3:8" x14ac:dyDescent="0.2">
      <c r="C487" s="96"/>
      <c r="D487" s="72"/>
      <c r="E487" s="72"/>
      <c r="F487" s="72"/>
      <c r="G487" s="72"/>
      <c r="H487" s="72">
        <f t="shared" si="10"/>
        <v>0</v>
      </c>
    </row>
    <row r="488" spans="3:8" x14ac:dyDescent="0.2">
      <c r="C488" s="115" t="s">
        <v>194</v>
      </c>
      <c r="D488" s="283"/>
      <c r="E488" s="283"/>
      <c r="F488" s="283"/>
      <c r="G488" s="283"/>
      <c r="H488" s="283">
        <f t="shared" si="10"/>
        <v>0</v>
      </c>
    </row>
    <row r="489" spans="3:8" ht="18.75" customHeight="1" x14ac:dyDescent="0.2">
      <c r="C489" s="116" t="s">
        <v>739</v>
      </c>
      <c r="D489" s="419">
        <v>743267</v>
      </c>
      <c r="E489" s="419">
        <v>29534</v>
      </c>
      <c r="F489" s="419">
        <v>66030</v>
      </c>
      <c r="G489" s="419"/>
      <c r="H489" s="419">
        <f t="shared" si="10"/>
        <v>838831</v>
      </c>
    </row>
    <row r="490" spans="3:8" x14ac:dyDescent="0.2">
      <c r="C490" s="103" t="s">
        <v>187</v>
      </c>
      <c r="D490" s="411">
        <v>477200</v>
      </c>
      <c r="E490" s="411">
        <v>22073</v>
      </c>
      <c r="F490" s="411"/>
      <c r="G490" s="411"/>
      <c r="H490" s="411">
        <f t="shared" si="10"/>
        <v>499273</v>
      </c>
    </row>
    <row r="491" spans="3:8" x14ac:dyDescent="0.2">
      <c r="C491" s="96"/>
      <c r="D491" s="72"/>
      <c r="E491" s="72"/>
      <c r="F491" s="72"/>
      <c r="G491" s="72"/>
      <c r="H491" s="72">
        <f t="shared" si="10"/>
        <v>0</v>
      </c>
    </row>
    <row r="492" spans="3:8" x14ac:dyDescent="0.2">
      <c r="C492" s="115" t="s">
        <v>194</v>
      </c>
      <c r="D492" s="283"/>
      <c r="E492" s="283"/>
      <c r="F492" s="283"/>
      <c r="G492" s="283"/>
      <c r="H492" s="283">
        <f t="shared" si="10"/>
        <v>0</v>
      </c>
    </row>
    <row r="493" spans="3:8" x14ac:dyDescent="0.2">
      <c r="C493" s="252" t="s">
        <v>831</v>
      </c>
      <c r="D493" s="435">
        <v>1201679</v>
      </c>
      <c r="E493" s="435">
        <v>37424</v>
      </c>
      <c r="F493" s="435">
        <v>12000</v>
      </c>
      <c r="G493" s="435">
        <v>1960</v>
      </c>
      <c r="H493" s="435">
        <f t="shared" si="10"/>
        <v>1253063</v>
      </c>
    </row>
    <row r="494" spans="3:8" x14ac:dyDescent="0.2">
      <c r="C494" s="103" t="s">
        <v>187</v>
      </c>
      <c r="D494" s="411">
        <v>738759</v>
      </c>
      <c r="E494" s="411">
        <v>27970</v>
      </c>
      <c r="F494" s="411">
        <v>8970</v>
      </c>
      <c r="G494" s="411">
        <v>1464</v>
      </c>
      <c r="H494" s="411">
        <f t="shared" si="10"/>
        <v>777163</v>
      </c>
    </row>
    <row r="495" spans="3:8" x14ac:dyDescent="0.2">
      <c r="C495" s="122"/>
      <c r="D495" s="434"/>
      <c r="E495" s="434"/>
      <c r="F495" s="434"/>
      <c r="G495" s="434"/>
      <c r="H495" s="434">
        <f t="shared" si="10"/>
        <v>0</v>
      </c>
    </row>
    <row r="496" spans="3:8" x14ac:dyDescent="0.2">
      <c r="C496" s="115" t="s">
        <v>194</v>
      </c>
      <c r="D496" s="283"/>
      <c r="E496" s="283"/>
      <c r="F496" s="283"/>
      <c r="G496" s="283"/>
      <c r="H496" s="283">
        <f t="shared" si="10"/>
        <v>0</v>
      </c>
    </row>
    <row r="497" spans="3:8" x14ac:dyDescent="0.2">
      <c r="C497" s="116" t="s">
        <v>222</v>
      </c>
      <c r="D497" s="419">
        <v>85000</v>
      </c>
      <c r="E497" s="419"/>
      <c r="F497" s="419"/>
      <c r="G497" s="419">
        <v>-22509</v>
      </c>
      <c r="H497" s="419">
        <f t="shared" si="10"/>
        <v>62491</v>
      </c>
    </row>
    <row r="498" spans="3:8" x14ac:dyDescent="0.2">
      <c r="C498" s="103" t="s">
        <v>187</v>
      </c>
      <c r="D498" s="411">
        <v>4608</v>
      </c>
      <c r="E498" s="411"/>
      <c r="F498" s="411"/>
      <c r="G498" s="411"/>
      <c r="H498" s="411">
        <f t="shared" si="10"/>
        <v>4608</v>
      </c>
    </row>
    <row r="499" spans="3:8" x14ac:dyDescent="0.2">
      <c r="C499" s="121"/>
      <c r="D499" s="419"/>
      <c r="E499" s="419"/>
      <c r="F499" s="419"/>
      <c r="G499" s="419"/>
      <c r="H499" s="419">
        <f t="shared" si="10"/>
        <v>0</v>
      </c>
    </row>
    <row r="500" spans="3:8" ht="25.5" x14ac:dyDescent="0.2">
      <c r="C500" s="127" t="s">
        <v>223</v>
      </c>
      <c r="D500" s="421">
        <f>D503+D506+D509+D512+D515+D520+D523+D526+D530</f>
        <v>1217140</v>
      </c>
      <c r="E500" s="421">
        <f t="shared" ref="E500" si="12">E503+E506+E509+E512+E515+E520+E523+E526+E530</f>
        <v>24887</v>
      </c>
      <c r="F500" s="421">
        <f>F503+F506+F509+F512+F515+F520+F523+F526</f>
        <v>8700</v>
      </c>
      <c r="G500" s="421">
        <f>G503+G506+G509+G512+G515+G520+G523+G526</f>
        <v>199</v>
      </c>
      <c r="H500" s="421">
        <f t="shared" si="10"/>
        <v>1250926</v>
      </c>
    </row>
    <row r="501" spans="3:8" x14ac:dyDescent="0.2">
      <c r="C501" s="98" t="s">
        <v>187</v>
      </c>
      <c r="D501" s="411">
        <f>D527</f>
        <v>418950</v>
      </c>
      <c r="E501" s="411">
        <f t="shared" ref="E501" si="13">E527</f>
        <v>18600</v>
      </c>
      <c r="F501" s="411">
        <f>F527</f>
        <v>0</v>
      </c>
      <c r="G501" s="411">
        <f>G527</f>
        <v>-8820</v>
      </c>
      <c r="H501" s="411">
        <f t="shared" si="10"/>
        <v>428730</v>
      </c>
    </row>
    <row r="502" spans="3:8" x14ac:dyDescent="0.2">
      <c r="C502" s="115" t="s">
        <v>194</v>
      </c>
      <c r="D502" s="283"/>
      <c r="E502" s="283"/>
      <c r="F502" s="283"/>
      <c r="G502" s="283"/>
      <c r="H502" s="283">
        <f t="shared" si="10"/>
        <v>0</v>
      </c>
    </row>
    <row r="503" spans="3:8" ht="25.5" x14ac:dyDescent="0.2">
      <c r="C503" s="116" t="s">
        <v>75</v>
      </c>
      <c r="D503" s="419">
        <v>156270</v>
      </c>
      <c r="E503" s="419"/>
      <c r="F503" s="419"/>
      <c r="G503" s="419"/>
      <c r="H503" s="419">
        <f t="shared" si="10"/>
        <v>156270</v>
      </c>
    </row>
    <row r="504" spans="3:8" x14ac:dyDescent="0.2">
      <c r="C504" s="129"/>
      <c r="D504" s="391"/>
      <c r="E504" s="391"/>
      <c r="F504" s="391"/>
      <c r="G504" s="391"/>
      <c r="H504" s="391">
        <f t="shared" si="10"/>
        <v>0</v>
      </c>
    </row>
    <row r="505" spans="3:8" x14ac:dyDescent="0.2">
      <c r="C505" s="115" t="s">
        <v>194</v>
      </c>
      <c r="D505" s="283"/>
      <c r="E505" s="283"/>
      <c r="F505" s="283"/>
      <c r="G505" s="283"/>
      <c r="H505" s="283">
        <f t="shared" ref="H505:H568" si="14">SUM(D505:G505)</f>
        <v>0</v>
      </c>
    </row>
    <row r="506" spans="3:8" x14ac:dyDescent="0.2">
      <c r="C506" s="116" t="s">
        <v>76</v>
      </c>
      <c r="D506" s="419">
        <v>122115</v>
      </c>
      <c r="E506" s="419"/>
      <c r="F506" s="419">
        <v>8700</v>
      </c>
      <c r="G506" s="419"/>
      <c r="H506" s="419">
        <f t="shared" si="14"/>
        <v>130815</v>
      </c>
    </row>
    <row r="507" spans="3:8" x14ac:dyDescent="0.2">
      <c r="C507" s="129"/>
      <c r="D507" s="391"/>
      <c r="E507" s="391"/>
      <c r="F507" s="391"/>
      <c r="G507" s="391"/>
      <c r="H507" s="391">
        <f t="shared" si="14"/>
        <v>0</v>
      </c>
    </row>
    <row r="508" spans="3:8" x14ac:dyDescent="0.2">
      <c r="C508" s="115" t="s">
        <v>194</v>
      </c>
      <c r="D508" s="283"/>
      <c r="E508" s="283"/>
      <c r="F508" s="283"/>
      <c r="G508" s="283"/>
      <c r="H508" s="283">
        <f t="shared" si="14"/>
        <v>0</v>
      </c>
    </row>
    <row r="509" spans="3:8" x14ac:dyDescent="0.2">
      <c r="C509" s="116" t="s">
        <v>77</v>
      </c>
      <c r="D509" s="419">
        <v>127525</v>
      </c>
      <c r="E509" s="419"/>
      <c r="F509" s="419"/>
      <c r="G509" s="419"/>
      <c r="H509" s="419">
        <f t="shared" si="14"/>
        <v>127525</v>
      </c>
    </row>
    <row r="510" spans="3:8" x14ac:dyDescent="0.2">
      <c r="C510" s="96"/>
      <c r="D510" s="72"/>
      <c r="E510" s="72"/>
      <c r="F510" s="72"/>
      <c r="G510" s="72"/>
      <c r="H510" s="72">
        <f t="shared" si="14"/>
        <v>0</v>
      </c>
    </row>
    <row r="511" spans="3:8" x14ac:dyDescent="0.2">
      <c r="C511" s="115" t="s">
        <v>194</v>
      </c>
      <c r="D511" s="283"/>
      <c r="E511" s="283"/>
      <c r="F511" s="283"/>
      <c r="G511" s="283"/>
      <c r="H511" s="283">
        <f t="shared" si="14"/>
        <v>0</v>
      </c>
    </row>
    <row r="512" spans="3:8" x14ac:dyDescent="0.2">
      <c r="C512" s="116" t="s">
        <v>78</v>
      </c>
      <c r="D512" s="419">
        <v>9590</v>
      </c>
      <c r="E512" s="419"/>
      <c r="F512" s="419"/>
      <c r="G512" s="419"/>
      <c r="H512" s="419">
        <f t="shared" si="14"/>
        <v>9590</v>
      </c>
    </row>
    <row r="513" spans="3:8" x14ac:dyDescent="0.2">
      <c r="C513" s="96"/>
      <c r="D513" s="72"/>
      <c r="E513" s="72"/>
      <c r="F513" s="72"/>
      <c r="G513" s="72"/>
      <c r="H513" s="72">
        <f t="shared" si="14"/>
        <v>0</v>
      </c>
    </row>
    <row r="514" spans="3:8" x14ac:dyDescent="0.2">
      <c r="C514" s="115" t="s">
        <v>194</v>
      </c>
      <c r="D514" s="283"/>
      <c r="E514" s="283"/>
      <c r="F514" s="283"/>
      <c r="G514" s="283"/>
      <c r="H514" s="283">
        <f t="shared" si="14"/>
        <v>0</v>
      </c>
    </row>
    <row r="515" spans="3:8" x14ac:dyDescent="0.2">
      <c r="C515" s="116" t="s">
        <v>79</v>
      </c>
      <c r="D515" s="419">
        <f>D516</f>
        <v>43150</v>
      </c>
      <c r="E515" s="419"/>
      <c r="F515" s="419"/>
      <c r="G515" s="419">
        <v>12000</v>
      </c>
      <c r="H515" s="419">
        <f t="shared" si="14"/>
        <v>55150</v>
      </c>
    </row>
    <row r="516" spans="3:8" x14ac:dyDescent="0.2">
      <c r="C516" s="203" t="s">
        <v>513</v>
      </c>
      <c r="D516" s="178">
        <v>43150</v>
      </c>
      <c r="E516" s="178"/>
      <c r="F516" s="178"/>
      <c r="G516" s="178"/>
      <c r="H516" s="178">
        <f t="shared" si="14"/>
        <v>43150</v>
      </c>
    </row>
    <row r="517" spans="3:8" x14ac:dyDescent="0.2">
      <c r="C517" s="203" t="s">
        <v>866</v>
      </c>
      <c r="D517" s="178"/>
      <c r="E517" s="178"/>
      <c r="F517" s="178"/>
      <c r="G517" s="178">
        <v>12000</v>
      </c>
      <c r="H517" s="178">
        <f t="shared" si="14"/>
        <v>12000</v>
      </c>
    </row>
    <row r="518" spans="3:8" x14ac:dyDescent="0.2">
      <c r="C518" s="203"/>
      <c r="D518" s="178"/>
      <c r="E518" s="178"/>
      <c r="F518" s="178"/>
      <c r="G518" s="178"/>
      <c r="H518" s="178">
        <f t="shared" si="14"/>
        <v>0</v>
      </c>
    </row>
    <row r="519" spans="3:8" x14ac:dyDescent="0.2">
      <c r="C519" s="115" t="s">
        <v>194</v>
      </c>
      <c r="D519" s="283"/>
      <c r="E519" s="283"/>
      <c r="F519" s="283"/>
      <c r="G519" s="283"/>
      <c r="H519" s="283">
        <f t="shared" si="14"/>
        <v>0</v>
      </c>
    </row>
    <row r="520" spans="3:8" x14ac:dyDescent="0.2">
      <c r="C520" s="116" t="s">
        <v>224</v>
      </c>
      <c r="D520" s="419">
        <v>14175</v>
      </c>
      <c r="E520" s="419"/>
      <c r="F520" s="419"/>
      <c r="G520" s="419"/>
      <c r="H520" s="419">
        <f t="shared" si="14"/>
        <v>14175</v>
      </c>
    </row>
    <row r="521" spans="3:8" x14ac:dyDescent="0.2">
      <c r="C521" s="129"/>
      <c r="D521" s="391"/>
      <c r="E521" s="391"/>
      <c r="F521" s="391"/>
      <c r="G521" s="391"/>
      <c r="H521" s="391">
        <f t="shared" si="14"/>
        <v>0</v>
      </c>
    </row>
    <row r="522" spans="3:8" x14ac:dyDescent="0.2">
      <c r="C522" s="115" t="s">
        <v>194</v>
      </c>
      <c r="D522" s="283"/>
      <c r="E522" s="283"/>
      <c r="F522" s="283"/>
      <c r="G522" s="283"/>
      <c r="H522" s="283">
        <f t="shared" si="14"/>
        <v>0</v>
      </c>
    </row>
    <row r="523" spans="3:8" x14ac:dyDescent="0.2">
      <c r="C523" s="116" t="s">
        <v>80</v>
      </c>
      <c r="D523" s="419">
        <v>102515</v>
      </c>
      <c r="E523" s="419"/>
      <c r="F523" s="419"/>
      <c r="G523" s="419"/>
      <c r="H523" s="419">
        <f t="shared" si="14"/>
        <v>102515</v>
      </c>
    </row>
    <row r="524" spans="3:8" x14ac:dyDescent="0.2">
      <c r="C524" s="128"/>
      <c r="D524" s="436"/>
      <c r="E524" s="436"/>
      <c r="F524" s="436"/>
      <c r="G524" s="436"/>
      <c r="H524" s="436">
        <f t="shared" si="14"/>
        <v>0</v>
      </c>
    </row>
    <row r="525" spans="3:8" x14ac:dyDescent="0.2">
      <c r="C525" s="115" t="s">
        <v>194</v>
      </c>
      <c r="D525" s="283"/>
      <c r="E525" s="283"/>
      <c r="F525" s="283"/>
      <c r="G525" s="283"/>
      <c r="H525" s="283">
        <f t="shared" si="14"/>
        <v>0</v>
      </c>
    </row>
    <row r="526" spans="3:8" ht="24" x14ac:dyDescent="0.2">
      <c r="C526" s="116" t="s">
        <v>530</v>
      </c>
      <c r="D526" s="419">
        <v>619430</v>
      </c>
      <c r="E526" s="419">
        <v>24887</v>
      </c>
      <c r="F526" s="419"/>
      <c r="G526" s="419">
        <v>-11801</v>
      </c>
      <c r="H526" s="419">
        <f t="shared" si="14"/>
        <v>632516</v>
      </c>
    </row>
    <row r="527" spans="3:8" x14ac:dyDescent="0.2">
      <c r="C527" s="103" t="s">
        <v>187</v>
      </c>
      <c r="D527" s="411">
        <v>418950</v>
      </c>
      <c r="E527" s="411">
        <v>18600</v>
      </c>
      <c r="F527" s="411"/>
      <c r="G527" s="411">
        <v>-8820</v>
      </c>
      <c r="H527" s="411">
        <f t="shared" si="14"/>
        <v>428730</v>
      </c>
    </row>
    <row r="528" spans="3:8" x14ac:dyDescent="0.2">
      <c r="C528" s="128"/>
      <c r="D528" s="436"/>
      <c r="E528" s="436"/>
      <c r="F528" s="436"/>
      <c r="G528" s="436"/>
      <c r="H528" s="436">
        <f t="shared" si="14"/>
        <v>0</v>
      </c>
    </row>
    <row r="529" spans="1:8" x14ac:dyDescent="0.2">
      <c r="C529" s="115" t="s">
        <v>194</v>
      </c>
      <c r="D529" s="283"/>
      <c r="E529" s="283"/>
      <c r="F529" s="283"/>
      <c r="G529" s="283"/>
      <c r="H529" s="283">
        <f t="shared" si="14"/>
        <v>0</v>
      </c>
    </row>
    <row r="530" spans="1:8" x14ac:dyDescent="0.2">
      <c r="C530" s="116" t="s">
        <v>450</v>
      </c>
      <c r="D530" s="419">
        <v>22370</v>
      </c>
      <c r="E530" s="419"/>
      <c r="F530" s="419"/>
      <c r="G530" s="419"/>
      <c r="H530" s="419">
        <f t="shared" si="14"/>
        <v>22370</v>
      </c>
    </row>
    <row r="531" spans="1:8" x14ac:dyDescent="0.2">
      <c r="C531" s="121"/>
      <c r="D531" s="419"/>
      <c r="E531" s="419"/>
      <c r="F531" s="419"/>
      <c r="G531" s="419"/>
      <c r="H531" s="419">
        <f t="shared" si="14"/>
        <v>0</v>
      </c>
    </row>
    <row r="532" spans="1:8" x14ac:dyDescent="0.2">
      <c r="C532" s="40" t="s">
        <v>186</v>
      </c>
      <c r="D532" s="283">
        <f>D534+D575</f>
        <v>16662460</v>
      </c>
      <c r="E532" s="283">
        <f>E534+E575</f>
        <v>24647</v>
      </c>
      <c r="F532" s="283">
        <f>F534+F575</f>
        <v>19545</v>
      </c>
      <c r="G532" s="283">
        <f>G534+G575</f>
        <v>139901</v>
      </c>
      <c r="H532" s="283">
        <f t="shared" si="14"/>
        <v>16846553</v>
      </c>
    </row>
    <row r="533" spans="1:8" x14ac:dyDescent="0.2">
      <c r="C533" s="130"/>
      <c r="D533" s="410"/>
      <c r="E533" s="410"/>
      <c r="F533" s="410"/>
      <c r="G533" s="410"/>
      <c r="H533" s="410">
        <f t="shared" si="14"/>
        <v>0</v>
      </c>
    </row>
    <row r="534" spans="1:8" x14ac:dyDescent="0.2">
      <c r="A534" s="6" t="s">
        <v>682</v>
      </c>
      <c r="B534" s="6" t="s">
        <v>176</v>
      </c>
      <c r="C534" s="131" t="s">
        <v>724</v>
      </c>
      <c r="D534" s="43">
        <f>D536+D539+D541+D546+D563+D570</f>
        <v>14735270</v>
      </c>
      <c r="E534" s="43">
        <f>E536+E539+E541+E546+E563+E570</f>
        <v>24647</v>
      </c>
      <c r="F534" s="43">
        <f>F536+F539+F541+F546+F563+F570</f>
        <v>-12730</v>
      </c>
      <c r="G534" s="43">
        <f>G536+G539+G541+G546+G563+G570+G544</f>
        <v>103436</v>
      </c>
      <c r="H534" s="43">
        <f t="shared" si="14"/>
        <v>14850623</v>
      </c>
    </row>
    <row r="535" spans="1:8" x14ac:dyDescent="0.2">
      <c r="C535" s="130"/>
      <c r="D535" s="410"/>
      <c r="E535" s="410"/>
      <c r="F535" s="410"/>
      <c r="G535" s="410"/>
      <c r="H535" s="410">
        <f t="shared" si="14"/>
        <v>0</v>
      </c>
    </row>
    <row r="536" spans="1:8" x14ac:dyDescent="0.2">
      <c r="C536" s="101" t="s">
        <v>226</v>
      </c>
      <c r="D536" s="406">
        <f>897745+10000</f>
        <v>907745</v>
      </c>
      <c r="E536" s="406"/>
      <c r="F536" s="406"/>
      <c r="G536" s="406">
        <v>20625</v>
      </c>
      <c r="H536" s="406">
        <f t="shared" si="14"/>
        <v>928370</v>
      </c>
    </row>
    <row r="537" spans="1:8" x14ac:dyDescent="0.2">
      <c r="C537" s="93" t="s">
        <v>187</v>
      </c>
      <c r="D537" s="411">
        <v>559011</v>
      </c>
      <c r="E537" s="411"/>
      <c r="F537" s="411"/>
      <c r="G537" s="411"/>
      <c r="H537" s="411">
        <f t="shared" si="14"/>
        <v>559011</v>
      </c>
    </row>
    <row r="538" spans="1:8" x14ac:dyDescent="0.2">
      <c r="C538" s="122"/>
      <c r="D538" s="434"/>
      <c r="E538" s="434"/>
      <c r="F538" s="434"/>
      <c r="G538" s="434"/>
      <c r="H538" s="434">
        <f t="shared" si="14"/>
        <v>0</v>
      </c>
    </row>
    <row r="539" spans="1:8" x14ac:dyDescent="0.2">
      <c r="C539" s="101" t="s">
        <v>81</v>
      </c>
      <c r="D539" s="406">
        <v>1240000</v>
      </c>
      <c r="E539" s="406"/>
      <c r="F539" s="406"/>
      <c r="G539" s="406">
        <v>51000</v>
      </c>
      <c r="H539" s="406">
        <f t="shared" si="14"/>
        <v>1291000</v>
      </c>
    </row>
    <row r="540" spans="1:8" x14ac:dyDescent="0.2">
      <c r="C540" s="93"/>
      <c r="D540" s="411"/>
      <c r="E540" s="411"/>
      <c r="F540" s="411"/>
      <c r="G540" s="411"/>
      <c r="H540" s="411">
        <f t="shared" si="14"/>
        <v>0</v>
      </c>
    </row>
    <row r="541" spans="1:8" x14ac:dyDescent="0.2">
      <c r="C541" s="101" t="s">
        <v>557</v>
      </c>
      <c r="D541" s="406">
        <v>1178580</v>
      </c>
      <c r="E541" s="406">
        <v>24647</v>
      </c>
      <c r="F541" s="406">
        <v>-12730</v>
      </c>
      <c r="G541" s="406">
        <v>24531</v>
      </c>
      <c r="H541" s="406">
        <f t="shared" si="14"/>
        <v>1215028</v>
      </c>
    </row>
    <row r="542" spans="1:8" x14ac:dyDescent="0.2">
      <c r="C542" s="93" t="s">
        <v>187</v>
      </c>
      <c r="D542" s="411">
        <v>596010</v>
      </c>
      <c r="E542" s="411">
        <v>18420</v>
      </c>
      <c r="F542" s="411"/>
      <c r="G542" s="411">
        <v>8820</v>
      </c>
      <c r="H542" s="411">
        <f t="shared" si="14"/>
        <v>623250</v>
      </c>
    </row>
    <row r="543" spans="1:8" x14ac:dyDescent="0.2">
      <c r="C543" s="93"/>
      <c r="D543" s="411"/>
      <c r="E543" s="411"/>
      <c r="F543" s="411"/>
      <c r="G543" s="411"/>
      <c r="H543" s="411">
        <f t="shared" si="14"/>
        <v>0</v>
      </c>
    </row>
    <row r="544" spans="1:8" x14ac:dyDescent="0.2">
      <c r="C544" s="101" t="s">
        <v>852</v>
      </c>
      <c r="D544" s="406"/>
      <c r="E544" s="406"/>
      <c r="F544" s="406"/>
      <c r="G544" s="406">
        <v>4280</v>
      </c>
      <c r="H544" s="406">
        <f t="shared" si="14"/>
        <v>4280</v>
      </c>
    </row>
    <row r="545" spans="3:8" x14ac:dyDescent="0.2">
      <c r="C545" s="93"/>
      <c r="D545" s="411"/>
      <c r="E545" s="411"/>
      <c r="F545" s="411"/>
      <c r="G545" s="411"/>
      <c r="H545" s="411">
        <f t="shared" si="14"/>
        <v>0</v>
      </c>
    </row>
    <row r="546" spans="3:8" x14ac:dyDescent="0.2">
      <c r="C546" s="101" t="s">
        <v>451</v>
      </c>
      <c r="D546" s="406">
        <f>D548+D557</f>
        <v>11314345</v>
      </c>
      <c r="E546" s="406"/>
      <c r="F546" s="406">
        <f>F548+F557</f>
        <v>0</v>
      </c>
      <c r="G546" s="406">
        <f>G548+G557</f>
        <v>0</v>
      </c>
      <c r="H546" s="406">
        <f t="shared" si="14"/>
        <v>11314345</v>
      </c>
    </row>
    <row r="547" spans="3:8" x14ac:dyDescent="0.2">
      <c r="C547" s="101"/>
      <c r="D547" s="406"/>
      <c r="E547" s="406"/>
      <c r="F547" s="406"/>
      <c r="G547" s="406"/>
      <c r="H547" s="406">
        <f t="shared" si="14"/>
        <v>0</v>
      </c>
    </row>
    <row r="548" spans="3:8" x14ac:dyDescent="0.2">
      <c r="C548" s="132" t="s">
        <v>227</v>
      </c>
      <c r="D548" s="406">
        <f>SUM(D549:D555)</f>
        <v>4134345</v>
      </c>
      <c r="E548" s="406"/>
      <c r="F548" s="406">
        <f>F549+F550+F551+F552+F553+F554+F555</f>
        <v>47720</v>
      </c>
      <c r="G548" s="406">
        <f>G549+G550+G551+G552+G553+G554+G555</f>
        <v>0</v>
      </c>
      <c r="H548" s="406">
        <f t="shared" si="14"/>
        <v>4182065</v>
      </c>
    </row>
    <row r="549" spans="3:8" x14ac:dyDescent="0.2">
      <c r="C549" s="110" t="s">
        <v>605</v>
      </c>
      <c r="D549" s="409">
        <v>516820</v>
      </c>
      <c r="E549" s="409"/>
      <c r="F549" s="409"/>
      <c r="G549" s="409"/>
      <c r="H549" s="409">
        <f t="shared" si="14"/>
        <v>516820</v>
      </c>
    </row>
    <row r="550" spans="3:8" x14ac:dyDescent="0.2">
      <c r="C550" s="111" t="s">
        <v>83</v>
      </c>
      <c r="D550" s="409">
        <v>1267325</v>
      </c>
      <c r="E550" s="409"/>
      <c r="F550" s="409"/>
      <c r="G550" s="409">
        <v>90000</v>
      </c>
      <c r="H550" s="409">
        <f t="shared" si="14"/>
        <v>1357325</v>
      </c>
    </row>
    <row r="551" spans="3:8" x14ac:dyDescent="0.2">
      <c r="C551" s="133" t="s">
        <v>395</v>
      </c>
      <c r="D551" s="5">
        <v>1193000</v>
      </c>
      <c r="E551" s="5"/>
      <c r="F551" s="5"/>
      <c r="G551" s="5">
        <v>30000</v>
      </c>
      <c r="H551" s="5">
        <f t="shared" si="14"/>
        <v>1223000</v>
      </c>
    </row>
    <row r="552" spans="3:8" x14ac:dyDescent="0.2">
      <c r="C552" s="133" t="s">
        <v>228</v>
      </c>
      <c r="D552" s="5">
        <v>1032200</v>
      </c>
      <c r="E552" s="5"/>
      <c r="F552" s="5"/>
      <c r="G552" s="5">
        <v>-100000</v>
      </c>
      <c r="H552" s="5">
        <f t="shared" si="14"/>
        <v>932200</v>
      </c>
    </row>
    <row r="553" spans="3:8" x14ac:dyDescent="0.2">
      <c r="C553" s="111" t="s">
        <v>229</v>
      </c>
      <c r="D553" s="409">
        <v>75000</v>
      </c>
      <c r="E553" s="409"/>
      <c r="F553" s="409">
        <v>47720</v>
      </c>
      <c r="G553" s="409">
        <v>-20000</v>
      </c>
      <c r="H553" s="409">
        <f t="shared" si="14"/>
        <v>102720</v>
      </c>
    </row>
    <row r="554" spans="3:8" x14ac:dyDescent="0.2">
      <c r="C554" s="111" t="s">
        <v>396</v>
      </c>
      <c r="D554" s="409">
        <v>20000</v>
      </c>
      <c r="E554" s="409"/>
      <c r="F554" s="409"/>
      <c r="G554" s="409"/>
      <c r="H554" s="409">
        <f t="shared" si="14"/>
        <v>20000</v>
      </c>
    </row>
    <row r="555" spans="3:8" x14ac:dyDescent="0.2">
      <c r="C555" s="111" t="s">
        <v>412</v>
      </c>
      <c r="D555" s="409">
        <v>30000</v>
      </c>
      <c r="E555" s="409"/>
      <c r="F555" s="409"/>
      <c r="G555" s="409"/>
      <c r="H555" s="409">
        <f t="shared" si="14"/>
        <v>30000</v>
      </c>
    </row>
    <row r="556" spans="3:8" x14ac:dyDescent="0.2">
      <c r="C556" s="134"/>
      <c r="D556" s="5"/>
      <c r="E556" s="5"/>
      <c r="F556" s="5"/>
      <c r="G556" s="5"/>
      <c r="H556" s="5">
        <f t="shared" si="14"/>
        <v>0</v>
      </c>
    </row>
    <row r="557" spans="3:8" x14ac:dyDescent="0.2">
      <c r="C557" s="132" t="s">
        <v>230</v>
      </c>
      <c r="D557" s="406">
        <f>D558</f>
        <v>7180000</v>
      </c>
      <c r="E557" s="406"/>
      <c r="F557" s="406">
        <f>F558</f>
        <v>-47720</v>
      </c>
      <c r="G557" s="406">
        <f>G558</f>
        <v>0</v>
      </c>
      <c r="H557" s="406">
        <f t="shared" si="14"/>
        <v>7132280</v>
      </c>
    </row>
    <row r="558" spans="3:8" x14ac:dyDescent="0.2">
      <c r="C558" s="111" t="s">
        <v>418</v>
      </c>
      <c r="D558" s="409">
        <v>7180000</v>
      </c>
      <c r="E558" s="409"/>
      <c r="F558" s="409">
        <f>F559+F560</f>
        <v>-47720</v>
      </c>
      <c r="G558" s="409"/>
      <c r="H558" s="409">
        <f t="shared" si="14"/>
        <v>7132280</v>
      </c>
    </row>
    <row r="559" spans="3:8" x14ac:dyDescent="0.2">
      <c r="C559" s="135" t="s">
        <v>452</v>
      </c>
      <c r="D559" s="410">
        <v>7177000</v>
      </c>
      <c r="E559" s="410"/>
      <c r="F559" s="410">
        <v>-47720</v>
      </c>
      <c r="G559" s="410"/>
      <c r="H559" s="410">
        <f t="shared" si="14"/>
        <v>7129280</v>
      </c>
    </row>
    <row r="560" spans="3:8" x14ac:dyDescent="0.2">
      <c r="C560" s="136" t="s">
        <v>231</v>
      </c>
      <c r="D560" s="416">
        <v>3000</v>
      </c>
      <c r="E560" s="416"/>
      <c r="F560" s="416"/>
      <c r="G560" s="416"/>
      <c r="H560" s="416">
        <f t="shared" si="14"/>
        <v>3000</v>
      </c>
    </row>
    <row r="561" spans="1:8" x14ac:dyDescent="0.2">
      <c r="C561" s="141" t="s">
        <v>573</v>
      </c>
      <c r="D561" s="416"/>
      <c r="E561" s="416"/>
      <c r="F561" s="416"/>
      <c r="G561" s="416"/>
      <c r="H561" s="416">
        <f t="shared" si="14"/>
        <v>0</v>
      </c>
    </row>
    <row r="562" spans="1:8" x14ac:dyDescent="0.2">
      <c r="C562" s="101"/>
      <c r="D562" s="406"/>
      <c r="E562" s="406"/>
      <c r="F562" s="406"/>
      <c r="G562" s="406"/>
      <c r="H562" s="406">
        <f t="shared" si="14"/>
        <v>0</v>
      </c>
    </row>
    <row r="563" spans="1:8" x14ac:dyDescent="0.2">
      <c r="C563" s="101" t="s">
        <v>52</v>
      </c>
      <c r="D563" s="406">
        <f>SUM(D564:D568)</f>
        <v>50000</v>
      </c>
      <c r="E563" s="406"/>
      <c r="F563" s="406">
        <f>F564+F565+F566</f>
        <v>0</v>
      </c>
      <c r="G563" s="406">
        <v>3000</v>
      </c>
      <c r="H563" s="406">
        <f t="shared" si="14"/>
        <v>53000</v>
      </c>
    </row>
    <row r="564" spans="1:8" x14ac:dyDescent="0.2">
      <c r="C564" s="137" t="s">
        <v>567</v>
      </c>
      <c r="D564" s="437">
        <v>17575</v>
      </c>
      <c r="E564" s="437"/>
      <c r="F564" s="437"/>
      <c r="G564" s="437"/>
      <c r="H564" s="437">
        <f t="shared" si="14"/>
        <v>17575</v>
      </c>
    </row>
    <row r="565" spans="1:8" x14ac:dyDescent="0.2">
      <c r="C565" s="138" t="s">
        <v>84</v>
      </c>
      <c r="D565" s="426">
        <v>1280</v>
      </c>
      <c r="E565" s="426"/>
      <c r="F565" s="426"/>
      <c r="G565" s="426"/>
      <c r="H565" s="426">
        <f t="shared" si="14"/>
        <v>1280</v>
      </c>
    </row>
    <row r="566" spans="1:8" x14ac:dyDescent="0.2">
      <c r="C566" s="138" t="s">
        <v>664</v>
      </c>
      <c r="D566" s="426">
        <v>10000</v>
      </c>
      <c r="E566" s="426"/>
      <c r="F566" s="426"/>
      <c r="G566" s="426"/>
      <c r="H566" s="426">
        <f t="shared" si="14"/>
        <v>10000</v>
      </c>
    </row>
    <row r="567" spans="1:8" ht="33.75" x14ac:dyDescent="0.2">
      <c r="C567" s="138" t="s">
        <v>875</v>
      </c>
      <c r="D567" s="426"/>
      <c r="E567" s="426"/>
      <c r="F567" s="426"/>
      <c r="G567" s="426">
        <v>3000</v>
      </c>
      <c r="H567" s="426">
        <f t="shared" si="14"/>
        <v>3000</v>
      </c>
    </row>
    <row r="568" spans="1:8" x14ac:dyDescent="0.2">
      <c r="C568" s="138" t="s">
        <v>232</v>
      </c>
      <c r="D568" s="426">
        <v>21145</v>
      </c>
      <c r="E568" s="426"/>
      <c r="F568" s="426"/>
      <c r="G568" s="426"/>
      <c r="H568" s="426">
        <f t="shared" si="14"/>
        <v>21145</v>
      </c>
    </row>
    <row r="569" spans="1:8" x14ac:dyDescent="0.2">
      <c r="C569" s="138"/>
      <c r="D569" s="426"/>
      <c r="E569" s="426"/>
      <c r="F569" s="426"/>
      <c r="G569" s="426"/>
      <c r="H569" s="426">
        <f t="shared" ref="H569:H630" si="15">SUM(D569:G569)</f>
        <v>0</v>
      </c>
    </row>
    <row r="570" spans="1:8" ht="25.5" x14ac:dyDescent="0.2">
      <c r="C570" s="139" t="s">
        <v>556</v>
      </c>
      <c r="D570" s="438">
        <v>44600</v>
      </c>
      <c r="E570" s="438"/>
      <c r="F570" s="438"/>
      <c r="G570" s="438"/>
      <c r="H570" s="438">
        <f t="shared" si="15"/>
        <v>44600</v>
      </c>
    </row>
    <row r="571" spans="1:8" x14ac:dyDescent="0.2">
      <c r="C571" s="93" t="s">
        <v>187</v>
      </c>
      <c r="D571" s="411">
        <v>15740</v>
      </c>
      <c r="E571" s="411"/>
      <c r="F571" s="411"/>
      <c r="G571" s="411"/>
      <c r="H571" s="411">
        <f t="shared" si="15"/>
        <v>15740</v>
      </c>
    </row>
    <row r="572" spans="1:8" x14ac:dyDescent="0.2">
      <c r="C572" s="93"/>
      <c r="D572" s="411"/>
      <c r="E572" s="411"/>
      <c r="F572" s="411"/>
      <c r="G572" s="411"/>
      <c r="H572" s="411">
        <f t="shared" si="15"/>
        <v>0</v>
      </c>
    </row>
    <row r="573" spans="1:8" x14ac:dyDescent="0.2">
      <c r="C573" s="106" t="s">
        <v>200</v>
      </c>
      <c r="D573" s="415">
        <v>44600</v>
      </c>
      <c r="E573" s="415"/>
      <c r="F573" s="415"/>
      <c r="G573" s="415"/>
      <c r="H573" s="415">
        <f t="shared" si="15"/>
        <v>44600</v>
      </c>
    </row>
    <row r="574" spans="1:8" x14ac:dyDescent="0.2">
      <c r="C574" s="106"/>
      <c r="D574" s="415"/>
      <c r="E574" s="415"/>
      <c r="F574" s="415"/>
      <c r="G574" s="415"/>
      <c r="H574" s="415">
        <f t="shared" si="15"/>
        <v>0</v>
      </c>
    </row>
    <row r="575" spans="1:8" x14ac:dyDescent="0.2">
      <c r="A575" s="6" t="s">
        <v>722</v>
      </c>
      <c r="B575" s="6" t="s">
        <v>176</v>
      </c>
      <c r="C575" s="140" t="s">
        <v>725</v>
      </c>
      <c r="D575" s="439">
        <f>D577+D580+D587+D589+D591+D593+D595+D597+D599+D601</f>
        <v>1927190</v>
      </c>
      <c r="E575" s="439"/>
      <c r="F575" s="439">
        <f>F577+F580+F587+F589+F591+F593+F595+F597+F599+F601</f>
        <v>32275</v>
      </c>
      <c r="G575" s="439">
        <f>G577+G580+G587+G589+G591+G593+G595+G597+G599+G601+G585+G603</f>
        <v>36465</v>
      </c>
      <c r="H575" s="439">
        <f t="shared" si="15"/>
        <v>1995930</v>
      </c>
    </row>
    <row r="576" spans="1:8" x14ac:dyDescent="0.2">
      <c r="C576" s="140"/>
      <c r="D576" s="439"/>
      <c r="E576" s="439"/>
      <c r="F576" s="439"/>
      <c r="G576" s="439"/>
      <c r="H576" s="439">
        <f t="shared" si="15"/>
        <v>0</v>
      </c>
    </row>
    <row r="577" spans="3:8" x14ac:dyDescent="0.2">
      <c r="C577" s="101" t="s">
        <v>742</v>
      </c>
      <c r="D577" s="406">
        <v>176400</v>
      </c>
      <c r="E577" s="406"/>
      <c r="F577" s="406">
        <v>14515</v>
      </c>
      <c r="G577" s="406">
        <v>18565</v>
      </c>
      <c r="H577" s="406">
        <f t="shared" si="15"/>
        <v>209480</v>
      </c>
    </row>
    <row r="578" spans="3:8" x14ac:dyDescent="0.2">
      <c r="C578" s="93" t="s">
        <v>187</v>
      </c>
      <c r="D578" s="411">
        <v>73506</v>
      </c>
      <c r="E578" s="411"/>
      <c r="F578" s="411">
        <v>9124</v>
      </c>
      <c r="G578" s="411"/>
      <c r="H578" s="411">
        <f t="shared" si="15"/>
        <v>82630</v>
      </c>
    </row>
    <row r="579" spans="3:8" x14ac:dyDescent="0.2">
      <c r="C579" s="140"/>
      <c r="D579" s="439"/>
      <c r="E579" s="439"/>
      <c r="F579" s="439"/>
      <c r="G579" s="439"/>
      <c r="H579" s="439">
        <f t="shared" si="15"/>
        <v>0</v>
      </c>
    </row>
    <row r="580" spans="3:8" x14ac:dyDescent="0.2">
      <c r="C580" s="101" t="s">
        <v>234</v>
      </c>
      <c r="D580" s="406">
        <f>D582+D583</f>
        <v>720000</v>
      </c>
      <c r="E580" s="406"/>
      <c r="F580" s="406">
        <v>8760</v>
      </c>
      <c r="G580" s="406">
        <v>16000</v>
      </c>
      <c r="H580" s="406">
        <f t="shared" si="15"/>
        <v>744760</v>
      </c>
    </row>
    <row r="581" spans="3:8" x14ac:dyDescent="0.2">
      <c r="C581" s="93" t="s">
        <v>187</v>
      </c>
      <c r="D581" s="411">
        <v>3000</v>
      </c>
      <c r="E581" s="411"/>
      <c r="F581" s="411"/>
      <c r="G581" s="411"/>
      <c r="H581" s="411">
        <f t="shared" si="15"/>
        <v>3000</v>
      </c>
    </row>
    <row r="582" spans="3:8" x14ac:dyDescent="0.2">
      <c r="C582" s="130" t="s">
        <v>453</v>
      </c>
      <c r="D582" s="410">
        <v>442410</v>
      </c>
      <c r="E582" s="410"/>
      <c r="F582" s="410"/>
      <c r="G582" s="410">
        <v>16000</v>
      </c>
      <c r="H582" s="410">
        <f t="shared" si="15"/>
        <v>458410</v>
      </c>
    </row>
    <row r="583" spans="3:8" x14ac:dyDescent="0.2">
      <c r="C583" s="141" t="s">
        <v>235</v>
      </c>
      <c r="D583" s="416">
        <v>277590</v>
      </c>
      <c r="E583" s="416"/>
      <c r="F583" s="416">
        <v>8760</v>
      </c>
      <c r="G583" s="416"/>
      <c r="H583" s="416">
        <f t="shared" si="15"/>
        <v>286350</v>
      </c>
    </row>
    <row r="584" spans="3:8" x14ac:dyDescent="0.2">
      <c r="C584" s="141"/>
      <c r="D584" s="416"/>
      <c r="E584" s="416"/>
      <c r="F584" s="416"/>
      <c r="G584" s="416"/>
      <c r="H584" s="416">
        <f t="shared" si="15"/>
        <v>0</v>
      </c>
    </row>
    <row r="585" spans="3:8" x14ac:dyDescent="0.2">
      <c r="C585" s="381" t="s">
        <v>853</v>
      </c>
      <c r="D585" s="406"/>
      <c r="E585" s="406"/>
      <c r="F585" s="406"/>
      <c r="G585" s="406">
        <v>5800</v>
      </c>
      <c r="H585" s="406">
        <f t="shared" si="15"/>
        <v>5800</v>
      </c>
    </row>
    <row r="586" spans="3:8" x14ac:dyDescent="0.2">
      <c r="C586" s="142"/>
      <c r="D586" s="416"/>
      <c r="E586" s="416"/>
      <c r="F586" s="416"/>
      <c r="G586" s="416"/>
      <c r="H586" s="416">
        <f t="shared" si="15"/>
        <v>0</v>
      </c>
    </row>
    <row r="587" spans="3:8" x14ac:dyDescent="0.2">
      <c r="C587" s="101" t="s">
        <v>46</v>
      </c>
      <c r="D587" s="406">
        <v>353145</v>
      </c>
      <c r="E587" s="406"/>
      <c r="F587" s="406"/>
      <c r="G587" s="406"/>
      <c r="H587" s="406">
        <f t="shared" si="15"/>
        <v>353145</v>
      </c>
    </row>
    <row r="588" spans="3:8" x14ac:dyDescent="0.2">
      <c r="C588" s="142"/>
      <c r="D588" s="416"/>
      <c r="E588" s="416"/>
      <c r="F588" s="416"/>
      <c r="G588" s="416"/>
      <c r="H588" s="416">
        <f t="shared" si="15"/>
        <v>0</v>
      </c>
    </row>
    <row r="589" spans="3:8" x14ac:dyDescent="0.2">
      <c r="C589" s="101" t="s">
        <v>85</v>
      </c>
      <c r="D589" s="406">
        <v>225000</v>
      </c>
      <c r="E589" s="406"/>
      <c r="F589" s="406"/>
      <c r="G589" s="406">
        <v>-10000</v>
      </c>
      <c r="H589" s="406">
        <f t="shared" si="15"/>
        <v>215000</v>
      </c>
    </row>
    <row r="590" spans="3:8" x14ac:dyDescent="0.2">
      <c r="C590" s="101"/>
      <c r="D590" s="406"/>
      <c r="E590" s="406"/>
      <c r="F590" s="406"/>
      <c r="G590" s="406"/>
      <c r="H590" s="406">
        <f t="shared" si="15"/>
        <v>0</v>
      </c>
    </row>
    <row r="591" spans="3:8" ht="25.5" x14ac:dyDescent="0.2">
      <c r="C591" s="104" t="s">
        <v>410</v>
      </c>
      <c r="D591" s="417">
        <v>26075</v>
      </c>
      <c r="E591" s="417"/>
      <c r="F591" s="417"/>
      <c r="G591" s="417"/>
      <c r="H591" s="417">
        <f t="shared" si="15"/>
        <v>26075</v>
      </c>
    </row>
    <row r="592" spans="3:8" x14ac:dyDescent="0.2">
      <c r="C592" s="104"/>
      <c r="D592" s="417"/>
      <c r="E592" s="417"/>
      <c r="F592" s="417"/>
      <c r="G592" s="417"/>
      <c r="H592" s="417">
        <f t="shared" si="15"/>
        <v>0</v>
      </c>
    </row>
    <row r="593" spans="3:8" x14ac:dyDescent="0.2">
      <c r="C593" s="143" t="s">
        <v>86</v>
      </c>
      <c r="D593" s="417">
        <v>215000</v>
      </c>
      <c r="E593" s="417"/>
      <c r="F593" s="417">
        <v>9000</v>
      </c>
      <c r="G593" s="417"/>
      <c r="H593" s="417">
        <f t="shared" si="15"/>
        <v>224000</v>
      </c>
    </row>
    <row r="594" spans="3:8" x14ac:dyDescent="0.2">
      <c r="C594" s="141"/>
      <c r="D594" s="416"/>
      <c r="E594" s="416"/>
      <c r="F594" s="416"/>
      <c r="G594" s="416"/>
      <c r="H594" s="416">
        <f t="shared" si="15"/>
        <v>0</v>
      </c>
    </row>
    <row r="595" spans="3:8" x14ac:dyDescent="0.2">
      <c r="C595" s="101" t="s">
        <v>236</v>
      </c>
      <c r="D595" s="406">
        <v>12230</v>
      </c>
      <c r="E595" s="406"/>
      <c r="F595" s="406"/>
      <c r="G595" s="406">
        <v>-5000</v>
      </c>
      <c r="H595" s="406">
        <f t="shared" si="15"/>
        <v>7230</v>
      </c>
    </row>
    <row r="596" spans="3:8" x14ac:dyDescent="0.2">
      <c r="C596" s="101"/>
      <c r="D596" s="406"/>
      <c r="E596" s="406"/>
      <c r="F596" s="406"/>
      <c r="G596" s="406"/>
      <c r="H596" s="406">
        <f t="shared" si="15"/>
        <v>0</v>
      </c>
    </row>
    <row r="597" spans="3:8" x14ac:dyDescent="0.2">
      <c r="C597" s="101" t="s">
        <v>572</v>
      </c>
      <c r="D597" s="406">
        <f>88000+65000</f>
        <v>153000</v>
      </c>
      <c r="E597" s="406"/>
      <c r="F597" s="406"/>
      <c r="G597" s="406"/>
      <c r="H597" s="406">
        <f t="shared" si="15"/>
        <v>153000</v>
      </c>
    </row>
    <row r="598" spans="3:8" x14ac:dyDescent="0.2">
      <c r="C598" s="101"/>
      <c r="D598" s="406"/>
      <c r="E598" s="406"/>
      <c r="F598" s="406"/>
      <c r="G598" s="406"/>
      <c r="H598" s="406">
        <f t="shared" si="15"/>
        <v>0</v>
      </c>
    </row>
    <row r="599" spans="3:8" x14ac:dyDescent="0.2">
      <c r="C599" s="101" t="s">
        <v>403</v>
      </c>
      <c r="D599" s="406">
        <v>19170</v>
      </c>
      <c r="E599" s="406"/>
      <c r="F599" s="406"/>
      <c r="G599" s="406"/>
      <c r="H599" s="406">
        <f t="shared" si="15"/>
        <v>19170</v>
      </c>
    </row>
    <row r="600" spans="3:8" x14ac:dyDescent="0.2">
      <c r="C600" s="101"/>
      <c r="D600" s="406"/>
      <c r="E600" s="406"/>
      <c r="F600" s="406"/>
      <c r="G600" s="406"/>
      <c r="H600" s="406">
        <f t="shared" si="15"/>
        <v>0</v>
      </c>
    </row>
    <row r="601" spans="3:8" x14ac:dyDescent="0.2">
      <c r="C601" s="101" t="s">
        <v>402</v>
      </c>
      <c r="D601" s="406">
        <v>27170</v>
      </c>
      <c r="E601" s="406"/>
      <c r="F601" s="406"/>
      <c r="G601" s="406"/>
      <c r="H601" s="406">
        <f t="shared" si="15"/>
        <v>27170</v>
      </c>
    </row>
    <row r="602" spans="3:8" x14ac:dyDescent="0.2">
      <c r="C602" s="101"/>
      <c r="D602" s="406"/>
      <c r="E602" s="406"/>
      <c r="F602" s="406"/>
      <c r="G602" s="406"/>
      <c r="H602" s="406">
        <f t="shared" si="15"/>
        <v>0</v>
      </c>
    </row>
    <row r="603" spans="3:8" x14ac:dyDescent="0.2">
      <c r="C603" s="92" t="s">
        <v>867</v>
      </c>
      <c r="D603" s="388"/>
      <c r="E603" s="388"/>
      <c r="F603" s="388"/>
      <c r="G603" s="388">
        <v>11100</v>
      </c>
      <c r="H603" s="388">
        <f t="shared" si="15"/>
        <v>11100</v>
      </c>
    </row>
    <row r="604" spans="3:8" x14ac:dyDescent="0.2">
      <c r="C604" s="93" t="s">
        <v>187</v>
      </c>
      <c r="D604" s="411"/>
      <c r="E604" s="411"/>
      <c r="F604" s="411"/>
      <c r="G604" s="411">
        <v>800</v>
      </c>
      <c r="H604" s="411">
        <f t="shared" si="15"/>
        <v>800</v>
      </c>
    </row>
    <row r="605" spans="3:8" x14ac:dyDescent="0.2">
      <c r="C605" s="101"/>
      <c r="D605" s="406"/>
      <c r="E605" s="406"/>
      <c r="F605" s="406"/>
      <c r="G605" s="406"/>
      <c r="H605" s="406">
        <f t="shared" si="15"/>
        <v>0</v>
      </c>
    </row>
    <row r="606" spans="3:8" x14ac:dyDescent="0.2">
      <c r="C606" s="101"/>
      <c r="D606" s="406"/>
      <c r="E606" s="406"/>
      <c r="F606" s="406"/>
      <c r="G606" s="406"/>
      <c r="H606" s="406">
        <f t="shared" si="15"/>
        <v>0</v>
      </c>
    </row>
    <row r="607" spans="3:8" ht="15.75" x14ac:dyDescent="0.2">
      <c r="C607" s="180" t="s">
        <v>726</v>
      </c>
      <c r="D607" s="440"/>
      <c r="E607" s="440"/>
      <c r="F607" s="440"/>
      <c r="G607" s="440"/>
      <c r="H607" s="440">
        <f t="shared" si="15"/>
        <v>0</v>
      </c>
    </row>
    <row r="608" spans="3:8" x14ac:dyDescent="0.2">
      <c r="C608" s="181"/>
      <c r="D608" s="441"/>
      <c r="E608" s="441"/>
      <c r="F608" s="441"/>
      <c r="G608" s="441"/>
      <c r="H608" s="441">
        <f t="shared" si="15"/>
        <v>0</v>
      </c>
    </row>
    <row r="609" spans="1:8" x14ac:dyDescent="0.2">
      <c r="C609" s="181" t="s">
        <v>182</v>
      </c>
      <c r="D609" s="441">
        <f>SUM(D615,D620,D625)</f>
        <v>15948918</v>
      </c>
      <c r="E609" s="441"/>
      <c r="F609" s="441">
        <f>SUM(F615,F620,F625)</f>
        <v>28369</v>
      </c>
      <c r="G609" s="441">
        <f>SUM(G615,G620,G625)</f>
        <v>-81398</v>
      </c>
      <c r="H609" s="441">
        <f t="shared" si="15"/>
        <v>15895889</v>
      </c>
    </row>
    <row r="610" spans="1:8" x14ac:dyDescent="0.2">
      <c r="C610" s="182" t="s">
        <v>201</v>
      </c>
      <c r="D610" s="442">
        <v>1576200</v>
      </c>
      <c r="E610" s="442"/>
      <c r="F610" s="442"/>
      <c r="G610" s="442">
        <v>680000</v>
      </c>
      <c r="H610" s="442">
        <f t="shared" si="15"/>
        <v>2256200</v>
      </c>
    </row>
    <row r="611" spans="1:8" x14ac:dyDescent="0.2">
      <c r="C611" s="183" t="s">
        <v>183</v>
      </c>
      <c r="D611" s="443">
        <f>SUM(D612:D613)</f>
        <v>15948918</v>
      </c>
      <c r="E611" s="443"/>
      <c r="F611" s="443">
        <f>SUM(F612:F613)</f>
        <v>28369</v>
      </c>
      <c r="G611" s="443">
        <f>SUM(G612:G613)</f>
        <v>-81398</v>
      </c>
      <c r="H611" s="443">
        <f t="shared" si="15"/>
        <v>15895889</v>
      </c>
    </row>
    <row r="612" spans="1:8" x14ac:dyDescent="0.2">
      <c r="C612" s="184" t="s">
        <v>184</v>
      </c>
      <c r="D612" s="442">
        <f>'2.2 OMATULUD'!B378</f>
        <v>2962530</v>
      </c>
      <c r="E612" s="442"/>
      <c r="F612" s="442">
        <v>17130</v>
      </c>
      <c r="G612" s="442">
        <v>-27200</v>
      </c>
      <c r="H612" s="442">
        <f t="shared" si="15"/>
        <v>2952460</v>
      </c>
    </row>
    <row r="613" spans="1:8" x14ac:dyDescent="0.2">
      <c r="C613" s="31" t="s">
        <v>185</v>
      </c>
      <c r="D613" s="442">
        <f>D609-D612</f>
        <v>12986388</v>
      </c>
      <c r="E613" s="442"/>
      <c r="F613" s="442">
        <f>F609-F612</f>
        <v>11239</v>
      </c>
      <c r="G613" s="442">
        <f>G609-G612</f>
        <v>-54198</v>
      </c>
      <c r="H613" s="442">
        <f t="shared" si="15"/>
        <v>12943429</v>
      </c>
    </row>
    <row r="614" spans="1:8" x14ac:dyDescent="0.2">
      <c r="C614" s="185"/>
      <c r="D614" s="442"/>
      <c r="E614" s="442"/>
      <c r="F614" s="442"/>
      <c r="G614" s="442"/>
      <c r="H614" s="442">
        <f t="shared" si="15"/>
        <v>0</v>
      </c>
    </row>
    <row r="615" spans="1:8" ht="15" x14ac:dyDescent="0.2">
      <c r="A615" s="6" t="s">
        <v>683</v>
      </c>
      <c r="B615" s="6" t="s">
        <v>172</v>
      </c>
      <c r="C615" s="186" t="s">
        <v>237</v>
      </c>
      <c r="D615" s="444">
        <f>SUM(D616)</f>
        <v>2491800</v>
      </c>
      <c r="E615" s="444"/>
      <c r="F615" s="444"/>
      <c r="G615" s="444">
        <f>SUM(G616)</f>
        <v>-83000</v>
      </c>
      <c r="H615" s="444">
        <f t="shared" si="15"/>
        <v>2408800</v>
      </c>
    </row>
    <row r="616" spans="1:8" x14ac:dyDescent="0.2">
      <c r="C616" s="187" t="s">
        <v>238</v>
      </c>
      <c r="D616" s="392">
        <f>SUM(D618)</f>
        <v>2491800</v>
      </c>
      <c r="E616" s="392"/>
      <c r="F616" s="392"/>
      <c r="G616" s="392">
        <f>SUM(G618)</f>
        <v>-83000</v>
      </c>
      <c r="H616" s="392">
        <f t="shared" si="15"/>
        <v>2408800</v>
      </c>
    </row>
    <row r="617" spans="1:8" x14ac:dyDescent="0.2">
      <c r="C617" s="188" t="s">
        <v>194</v>
      </c>
      <c r="D617" s="392"/>
      <c r="E617" s="392"/>
      <c r="F617" s="392"/>
      <c r="G617" s="392"/>
      <c r="H617" s="392">
        <f t="shared" si="15"/>
        <v>0</v>
      </c>
    </row>
    <row r="618" spans="1:8" x14ac:dyDescent="0.2">
      <c r="C618" s="116" t="s">
        <v>239</v>
      </c>
      <c r="D618" s="419">
        <v>2491800</v>
      </c>
      <c r="E618" s="419"/>
      <c r="F618" s="419"/>
      <c r="G618" s="419">
        <v>-83000</v>
      </c>
      <c r="H618" s="419">
        <f t="shared" si="15"/>
        <v>2408800</v>
      </c>
    </row>
    <row r="619" spans="1:8" x14ac:dyDescent="0.2">
      <c r="C619" s="175"/>
      <c r="D619" s="445"/>
      <c r="E619" s="445"/>
      <c r="F619" s="445"/>
      <c r="G619" s="445"/>
      <c r="H619" s="445">
        <f t="shared" si="15"/>
        <v>0</v>
      </c>
    </row>
    <row r="620" spans="1:8" ht="15" x14ac:dyDescent="0.2">
      <c r="A620" s="6" t="s">
        <v>682</v>
      </c>
      <c r="B620" s="6" t="s">
        <v>172</v>
      </c>
      <c r="C620" s="114" t="s">
        <v>217</v>
      </c>
      <c r="D620" s="384">
        <f>SUM(D621)</f>
        <v>595000</v>
      </c>
      <c r="E620" s="384"/>
      <c r="F620" s="384"/>
      <c r="G620" s="384"/>
      <c r="H620" s="384">
        <f t="shared" si="15"/>
        <v>595000</v>
      </c>
    </row>
    <row r="621" spans="1:8" ht="25.5" x14ac:dyDescent="0.2">
      <c r="C621" s="127" t="s">
        <v>223</v>
      </c>
      <c r="D621" s="421">
        <f>SUM(D623)</f>
        <v>595000</v>
      </c>
      <c r="E621" s="421"/>
      <c r="F621" s="421"/>
      <c r="G621" s="421"/>
      <c r="H621" s="421">
        <f t="shared" si="15"/>
        <v>595000</v>
      </c>
    </row>
    <row r="622" spans="1:8" x14ac:dyDescent="0.2">
      <c r="C622" s="188" t="s">
        <v>194</v>
      </c>
      <c r="D622" s="392"/>
      <c r="E622" s="392"/>
      <c r="F622" s="392"/>
      <c r="G622" s="392"/>
      <c r="H622" s="392">
        <f t="shared" si="15"/>
        <v>0</v>
      </c>
    </row>
    <row r="623" spans="1:8" x14ac:dyDescent="0.2">
      <c r="C623" s="116" t="s">
        <v>449</v>
      </c>
      <c r="D623" s="419">
        <v>595000</v>
      </c>
      <c r="E623" s="419"/>
      <c r="F623" s="419"/>
      <c r="G623" s="419"/>
      <c r="H623" s="419">
        <f t="shared" si="15"/>
        <v>595000</v>
      </c>
    </row>
    <row r="624" spans="1:8" x14ac:dyDescent="0.2">
      <c r="C624" s="189"/>
      <c r="D624" s="415"/>
      <c r="E624" s="415"/>
      <c r="F624" s="415"/>
      <c r="G624" s="415"/>
      <c r="H624" s="415">
        <f t="shared" si="15"/>
        <v>0</v>
      </c>
    </row>
    <row r="625" spans="1:8" x14ac:dyDescent="0.2">
      <c r="C625" s="181" t="s">
        <v>186</v>
      </c>
      <c r="D625" s="441">
        <f>SUM(D627,D632,D646,D630)</f>
        <v>12862118</v>
      </c>
      <c r="E625" s="441">
        <f>SUM(E627,E632,E646,E630)</f>
        <v>0</v>
      </c>
      <c r="F625" s="441">
        <f>SUM(F627,F632,F644,F646,F630)</f>
        <v>28369</v>
      </c>
      <c r="G625" s="441">
        <f>SUM(G627,G632,G646,G630)</f>
        <v>1602</v>
      </c>
      <c r="H625" s="441">
        <f t="shared" si="15"/>
        <v>12892089</v>
      </c>
    </row>
    <row r="626" spans="1:8" x14ac:dyDescent="0.2">
      <c r="C626" s="181"/>
      <c r="D626" s="441"/>
      <c r="E626" s="441"/>
      <c r="F626" s="441"/>
      <c r="G626" s="441"/>
      <c r="H626" s="441">
        <f t="shared" si="15"/>
        <v>0</v>
      </c>
    </row>
    <row r="627" spans="1:8" x14ac:dyDescent="0.2">
      <c r="A627" s="6" t="s">
        <v>683</v>
      </c>
      <c r="B627" s="6" t="s">
        <v>172</v>
      </c>
      <c r="C627" s="95" t="s">
        <v>727</v>
      </c>
      <c r="D627" s="414">
        <v>1906418</v>
      </c>
      <c r="E627" s="414"/>
      <c r="F627" s="414">
        <v>11239</v>
      </c>
      <c r="G627" s="414">
        <v>-1398</v>
      </c>
      <c r="H627" s="414">
        <f t="shared" si="15"/>
        <v>1916259</v>
      </c>
    </row>
    <row r="628" spans="1:8" x14ac:dyDescent="0.2">
      <c r="C628" s="102" t="s">
        <v>187</v>
      </c>
      <c r="D628" s="415">
        <v>1106854</v>
      </c>
      <c r="E628" s="415"/>
      <c r="F628" s="415">
        <f>5309+10320+8400</f>
        <v>24029</v>
      </c>
      <c r="G628" s="415">
        <v>1825</v>
      </c>
      <c r="H628" s="415">
        <f t="shared" si="15"/>
        <v>1132708</v>
      </c>
    </row>
    <row r="629" spans="1:8" x14ac:dyDescent="0.2">
      <c r="C629" s="102"/>
      <c r="D629" s="415"/>
      <c r="E629" s="415"/>
      <c r="F629" s="415"/>
      <c r="G629" s="415"/>
      <c r="H629" s="415">
        <f t="shared" si="15"/>
        <v>0</v>
      </c>
    </row>
    <row r="630" spans="1:8" x14ac:dyDescent="0.2">
      <c r="A630" s="6" t="s">
        <v>676</v>
      </c>
      <c r="B630" s="6" t="s">
        <v>172</v>
      </c>
      <c r="C630" s="95" t="s">
        <v>287</v>
      </c>
      <c r="D630" s="414">
        <v>80200</v>
      </c>
      <c r="E630" s="414"/>
      <c r="F630" s="414"/>
      <c r="G630" s="414"/>
      <c r="H630" s="414">
        <f t="shared" si="15"/>
        <v>80200</v>
      </c>
    </row>
    <row r="631" spans="1:8" x14ac:dyDescent="0.2">
      <c r="C631" s="181"/>
      <c r="D631" s="441"/>
      <c r="E631" s="441"/>
      <c r="F631" s="441"/>
      <c r="G631" s="441"/>
      <c r="H631" s="441">
        <f t="shared" ref="H631:H694" si="16">SUM(D631:G631)</f>
        <v>0</v>
      </c>
    </row>
    <row r="632" spans="1:8" x14ac:dyDescent="0.2">
      <c r="A632" s="6" t="s">
        <v>683</v>
      </c>
      <c r="B632" s="6" t="s">
        <v>172</v>
      </c>
      <c r="C632" s="104" t="s">
        <v>240</v>
      </c>
      <c r="D632" s="417">
        <f>SUM(D633:D642)</f>
        <v>10525500</v>
      </c>
      <c r="E632" s="417"/>
      <c r="F632" s="417"/>
      <c r="G632" s="417">
        <f>SUM(G633:G642)</f>
        <v>3000</v>
      </c>
      <c r="H632" s="417">
        <f t="shared" si="16"/>
        <v>10528500</v>
      </c>
    </row>
    <row r="633" spans="1:8" x14ac:dyDescent="0.2">
      <c r="C633" s="137" t="s">
        <v>473</v>
      </c>
      <c r="D633" s="437">
        <v>370000</v>
      </c>
      <c r="E633" s="437"/>
      <c r="F633" s="437"/>
      <c r="G633" s="437"/>
      <c r="H633" s="437">
        <f t="shared" si="16"/>
        <v>370000</v>
      </c>
    </row>
    <row r="634" spans="1:8" x14ac:dyDescent="0.2">
      <c r="C634" s="138" t="s">
        <v>241</v>
      </c>
      <c r="D634" s="426">
        <f>2480000-90000</f>
        <v>2390000</v>
      </c>
      <c r="E634" s="426"/>
      <c r="F634" s="426"/>
      <c r="G634" s="426"/>
      <c r="H634" s="426">
        <f t="shared" si="16"/>
        <v>2390000</v>
      </c>
    </row>
    <row r="635" spans="1:8" x14ac:dyDescent="0.2">
      <c r="C635" s="138" t="s">
        <v>242</v>
      </c>
      <c r="D635" s="426">
        <f>7820000-214000</f>
        <v>7606000</v>
      </c>
      <c r="E635" s="426"/>
      <c r="F635" s="426"/>
      <c r="G635" s="426"/>
      <c r="H635" s="426">
        <f t="shared" si="16"/>
        <v>7606000</v>
      </c>
    </row>
    <row r="636" spans="1:8" ht="22.5" x14ac:dyDescent="0.2">
      <c r="C636" s="138" t="s">
        <v>87</v>
      </c>
      <c r="D636" s="426">
        <v>70000</v>
      </c>
      <c r="E636" s="426"/>
      <c r="F636" s="426"/>
      <c r="G636" s="426"/>
      <c r="H636" s="426">
        <f t="shared" si="16"/>
        <v>70000</v>
      </c>
    </row>
    <row r="637" spans="1:8" x14ac:dyDescent="0.2">
      <c r="C637" s="138" t="s">
        <v>88</v>
      </c>
      <c r="D637" s="426">
        <v>9600</v>
      </c>
      <c r="E637" s="426"/>
      <c r="F637" s="426"/>
      <c r="G637" s="426"/>
      <c r="H637" s="426">
        <f t="shared" si="16"/>
        <v>9600</v>
      </c>
    </row>
    <row r="638" spans="1:8" x14ac:dyDescent="0.2">
      <c r="C638" s="191" t="s">
        <v>411</v>
      </c>
      <c r="D638" s="446">
        <v>6400</v>
      </c>
      <c r="E638" s="446"/>
      <c r="F638" s="446"/>
      <c r="G638" s="446"/>
      <c r="H638" s="446">
        <f t="shared" si="16"/>
        <v>6400</v>
      </c>
    </row>
    <row r="639" spans="1:8" x14ac:dyDescent="0.2">
      <c r="C639" s="138" t="s">
        <v>89</v>
      </c>
      <c r="D639" s="426">
        <v>15000</v>
      </c>
      <c r="E639" s="426"/>
      <c r="F639" s="426"/>
      <c r="G639" s="426">
        <v>6000</v>
      </c>
      <c r="H639" s="426">
        <f t="shared" si="16"/>
        <v>21000</v>
      </c>
    </row>
    <row r="640" spans="1:8" ht="22.5" x14ac:dyDescent="0.2">
      <c r="C640" s="138" t="s">
        <v>55</v>
      </c>
      <c r="D640" s="426">
        <v>5000</v>
      </c>
      <c r="E640" s="426"/>
      <c r="F640" s="426"/>
      <c r="G640" s="426">
        <v>-3000</v>
      </c>
      <c r="H640" s="426">
        <f t="shared" si="16"/>
        <v>2000</v>
      </c>
    </row>
    <row r="641" spans="1:8" x14ac:dyDescent="0.2">
      <c r="C641" s="138" t="s">
        <v>514</v>
      </c>
      <c r="D641" s="426">
        <v>40000</v>
      </c>
      <c r="E641" s="426"/>
      <c r="F641" s="426"/>
      <c r="G641" s="426"/>
      <c r="H641" s="426">
        <f t="shared" si="16"/>
        <v>40000</v>
      </c>
    </row>
    <row r="642" spans="1:8" x14ac:dyDescent="0.2">
      <c r="C642" s="138" t="s">
        <v>568</v>
      </c>
      <c r="D642" s="426">
        <v>13500</v>
      </c>
      <c r="E642" s="426"/>
      <c r="F642" s="426"/>
      <c r="G642" s="426"/>
      <c r="H642" s="426">
        <f t="shared" si="16"/>
        <v>13500</v>
      </c>
    </row>
    <row r="643" spans="1:8" x14ac:dyDescent="0.2">
      <c r="C643" s="166"/>
      <c r="D643" s="447"/>
      <c r="E643" s="447"/>
      <c r="F643" s="447"/>
      <c r="G643" s="447"/>
      <c r="H643" s="447">
        <f t="shared" si="16"/>
        <v>0</v>
      </c>
    </row>
    <row r="644" spans="1:8" x14ac:dyDescent="0.2">
      <c r="A644" s="6" t="s">
        <v>683</v>
      </c>
      <c r="B644" s="6" t="s">
        <v>172</v>
      </c>
      <c r="C644" s="92" t="s">
        <v>289</v>
      </c>
      <c r="D644" s="388"/>
      <c r="E644" s="388"/>
      <c r="F644" s="388">
        <v>17130</v>
      </c>
      <c r="G644" s="388"/>
      <c r="H644" s="388">
        <f t="shared" si="16"/>
        <v>17130</v>
      </c>
    </row>
    <row r="645" spans="1:8" x14ac:dyDescent="0.2">
      <c r="C645" s="166"/>
      <c r="D645" s="447"/>
      <c r="E645" s="447"/>
      <c r="F645" s="447"/>
      <c r="G645" s="447"/>
      <c r="H645" s="447">
        <f t="shared" si="16"/>
        <v>0</v>
      </c>
    </row>
    <row r="646" spans="1:8" x14ac:dyDescent="0.2">
      <c r="A646" s="6" t="s">
        <v>683</v>
      </c>
      <c r="B646" s="6" t="s">
        <v>172</v>
      </c>
      <c r="C646" s="95" t="s">
        <v>474</v>
      </c>
      <c r="D646" s="414">
        <f>250000+100000</f>
        <v>350000</v>
      </c>
      <c r="E646" s="414"/>
      <c r="F646" s="414"/>
      <c r="G646" s="414"/>
      <c r="H646" s="414">
        <f t="shared" si="16"/>
        <v>350000</v>
      </c>
    </row>
    <row r="647" spans="1:8" x14ac:dyDescent="0.2">
      <c r="C647" s="106"/>
      <c r="D647" s="415"/>
      <c r="E647" s="415"/>
      <c r="F647" s="415"/>
      <c r="G647" s="415"/>
      <c r="H647" s="415">
        <f t="shared" si="16"/>
        <v>0</v>
      </c>
    </row>
    <row r="648" spans="1:8" x14ac:dyDescent="0.2">
      <c r="C648" s="106"/>
      <c r="D648" s="415"/>
      <c r="E648" s="415"/>
      <c r="F648" s="415"/>
      <c r="G648" s="415"/>
      <c r="H648" s="415">
        <f t="shared" si="16"/>
        <v>0</v>
      </c>
    </row>
    <row r="649" spans="1:8" ht="15.75" x14ac:dyDescent="0.2">
      <c r="C649" s="107" t="s">
        <v>421</v>
      </c>
      <c r="D649" s="412"/>
      <c r="E649" s="412"/>
      <c r="F649" s="412"/>
      <c r="G649" s="412"/>
      <c r="H649" s="412">
        <f t="shared" si="16"/>
        <v>0</v>
      </c>
    </row>
    <row r="650" spans="1:8" x14ac:dyDescent="0.2">
      <c r="C650" s="96"/>
      <c r="D650" s="72"/>
      <c r="E650" s="72"/>
      <c r="F650" s="72"/>
      <c r="G650" s="72"/>
      <c r="H650" s="72">
        <f t="shared" si="16"/>
        <v>0</v>
      </c>
    </row>
    <row r="651" spans="1:8" x14ac:dyDescent="0.2">
      <c r="C651" s="108" t="s">
        <v>182</v>
      </c>
      <c r="D651" s="408">
        <f>D657+D704+D712</f>
        <v>9064604</v>
      </c>
      <c r="E651" s="408"/>
      <c r="F651" s="408">
        <f>F657+F704+F712</f>
        <v>28700</v>
      </c>
      <c r="G651" s="408">
        <f>G657+G704+G712</f>
        <v>85866</v>
      </c>
      <c r="H651" s="408">
        <f t="shared" si="16"/>
        <v>9179170</v>
      </c>
    </row>
    <row r="652" spans="1:8" x14ac:dyDescent="0.2">
      <c r="C652" s="79" t="s">
        <v>201</v>
      </c>
      <c r="D652" s="409">
        <v>193340</v>
      </c>
      <c r="E652" s="409"/>
      <c r="F652" s="409"/>
      <c r="G652" s="409"/>
      <c r="H652" s="409">
        <f t="shared" si="16"/>
        <v>193340</v>
      </c>
    </row>
    <row r="653" spans="1:8" x14ac:dyDescent="0.2">
      <c r="C653" s="109" t="s">
        <v>183</v>
      </c>
      <c r="D653" s="386">
        <f>D654+D655</f>
        <v>9064604</v>
      </c>
      <c r="E653" s="386"/>
      <c r="F653" s="386">
        <f>F654+F655</f>
        <v>28700</v>
      </c>
      <c r="G653" s="386">
        <f>G654+G655</f>
        <v>85866</v>
      </c>
      <c r="H653" s="386">
        <f t="shared" si="16"/>
        <v>9179170</v>
      </c>
    </row>
    <row r="654" spans="1:8" x14ac:dyDescent="0.2">
      <c r="C654" s="110" t="s">
        <v>184</v>
      </c>
      <c r="D654" s="409">
        <f>'2.2 OMATULUD'!B390</f>
        <v>987183</v>
      </c>
      <c r="E654" s="409"/>
      <c r="F654" s="409">
        <f>'2.2 OMATULUD'!C390</f>
        <v>22700</v>
      </c>
      <c r="G654" s="409">
        <v>-201070</v>
      </c>
      <c r="H654" s="409">
        <f t="shared" si="16"/>
        <v>808813</v>
      </c>
    </row>
    <row r="655" spans="1:8" x14ac:dyDescent="0.2">
      <c r="C655" s="111" t="s">
        <v>185</v>
      </c>
      <c r="D655" s="409">
        <f>D651-D654</f>
        <v>8077421</v>
      </c>
      <c r="E655" s="409"/>
      <c r="F655" s="409">
        <f>F651-F654</f>
        <v>6000</v>
      </c>
      <c r="G655" s="409">
        <f>G651-G654</f>
        <v>286936</v>
      </c>
      <c r="H655" s="409">
        <f t="shared" si="16"/>
        <v>8370357</v>
      </c>
    </row>
    <row r="656" spans="1:8" x14ac:dyDescent="0.2">
      <c r="C656" s="96"/>
      <c r="D656" s="72"/>
      <c r="E656" s="72"/>
      <c r="F656" s="72"/>
      <c r="G656" s="72"/>
      <c r="H656" s="72">
        <f t="shared" si="16"/>
        <v>0</v>
      </c>
    </row>
    <row r="657" spans="1:8" ht="15" x14ac:dyDescent="0.2">
      <c r="A657" s="6" t="s">
        <v>684</v>
      </c>
      <c r="B657" s="6" t="s">
        <v>167</v>
      </c>
      <c r="C657" s="144" t="s">
        <v>243</v>
      </c>
      <c r="D657" s="423">
        <f>D658+D675+D698</f>
        <v>1382540</v>
      </c>
      <c r="E657" s="423"/>
      <c r="F657" s="423">
        <f>F658+F675+F698</f>
        <v>-35000</v>
      </c>
      <c r="G657" s="423">
        <f>G658+G675+G698</f>
        <v>-121070</v>
      </c>
      <c r="H657" s="423">
        <f t="shared" si="16"/>
        <v>1226470</v>
      </c>
    </row>
    <row r="658" spans="1:8" x14ac:dyDescent="0.2">
      <c r="C658" s="145" t="s">
        <v>244</v>
      </c>
      <c r="D658" s="408">
        <f>D661+D665+D668+D672</f>
        <v>540830</v>
      </c>
      <c r="E658" s="408"/>
      <c r="F658" s="408">
        <f>F661+F665+F668+F672</f>
        <v>-35000</v>
      </c>
      <c r="G658" s="408">
        <f>G661+G665+G668+G672</f>
        <v>-20000</v>
      </c>
      <c r="H658" s="408">
        <f t="shared" si="16"/>
        <v>485830</v>
      </c>
    </row>
    <row r="659" spans="1:8" x14ac:dyDescent="0.2">
      <c r="C659" s="98" t="s">
        <v>187</v>
      </c>
      <c r="D659" s="411">
        <f>D662+D669+D673</f>
        <v>55545</v>
      </c>
      <c r="E659" s="411"/>
      <c r="F659" s="411">
        <f>F662+F669+F673</f>
        <v>-26315</v>
      </c>
      <c r="G659" s="411">
        <f>G662+G669+G673</f>
        <v>0</v>
      </c>
      <c r="H659" s="411">
        <f t="shared" si="16"/>
        <v>29230</v>
      </c>
    </row>
    <row r="660" spans="1:8" x14ac:dyDescent="0.2">
      <c r="C660" s="115" t="s">
        <v>194</v>
      </c>
      <c r="D660" s="283"/>
      <c r="E660" s="283"/>
      <c r="F660" s="283"/>
      <c r="G660" s="283"/>
      <c r="H660" s="283">
        <f t="shared" si="16"/>
        <v>0</v>
      </c>
    </row>
    <row r="661" spans="1:8" ht="26.25" customHeight="1" x14ac:dyDescent="0.2">
      <c r="C661" s="116" t="s">
        <v>245</v>
      </c>
      <c r="D661" s="419">
        <v>159850</v>
      </c>
      <c r="E661" s="419"/>
      <c r="F661" s="419"/>
      <c r="G661" s="419">
        <v>-20000</v>
      </c>
      <c r="H661" s="419">
        <f t="shared" si="16"/>
        <v>139850</v>
      </c>
    </row>
    <row r="662" spans="1:8" x14ac:dyDescent="0.2">
      <c r="C662" s="103" t="s">
        <v>187</v>
      </c>
      <c r="D662" s="411">
        <v>1500</v>
      </c>
      <c r="E662" s="411"/>
      <c r="F662" s="411"/>
      <c r="G662" s="411"/>
      <c r="H662" s="411">
        <f t="shared" si="16"/>
        <v>1500</v>
      </c>
    </row>
    <row r="663" spans="1:8" x14ac:dyDescent="0.2">
      <c r="C663" s="98"/>
      <c r="D663" s="411"/>
      <c r="E663" s="411"/>
      <c r="F663" s="411"/>
      <c r="G663" s="411"/>
      <c r="H663" s="411">
        <f t="shared" si="16"/>
        <v>0</v>
      </c>
    </row>
    <row r="664" spans="1:8" x14ac:dyDescent="0.2">
      <c r="C664" s="115" t="s">
        <v>194</v>
      </c>
      <c r="D664" s="283"/>
      <c r="E664" s="283"/>
      <c r="F664" s="283"/>
      <c r="G664" s="283"/>
      <c r="H664" s="283">
        <f t="shared" si="16"/>
        <v>0</v>
      </c>
    </row>
    <row r="665" spans="1:8" x14ac:dyDescent="0.2">
      <c r="C665" s="116" t="s">
        <v>90</v>
      </c>
      <c r="D665" s="419">
        <v>248000</v>
      </c>
      <c r="E665" s="419"/>
      <c r="F665" s="419"/>
      <c r="G665" s="419"/>
      <c r="H665" s="419">
        <f t="shared" si="16"/>
        <v>248000</v>
      </c>
    </row>
    <row r="666" spans="1:8" x14ac:dyDescent="0.2">
      <c r="C666" s="98"/>
      <c r="D666" s="411"/>
      <c r="E666" s="411"/>
      <c r="F666" s="411"/>
      <c r="G666" s="411"/>
      <c r="H666" s="411">
        <f t="shared" si="16"/>
        <v>0</v>
      </c>
    </row>
    <row r="667" spans="1:8" x14ac:dyDescent="0.2">
      <c r="C667" s="115" t="s">
        <v>194</v>
      </c>
      <c r="D667" s="283"/>
      <c r="E667" s="283"/>
      <c r="F667" s="283"/>
      <c r="G667" s="283"/>
      <c r="H667" s="283">
        <f t="shared" si="16"/>
        <v>0</v>
      </c>
    </row>
    <row r="668" spans="1:8" x14ac:dyDescent="0.2">
      <c r="C668" s="116" t="s">
        <v>91</v>
      </c>
      <c r="D668" s="419">
        <v>63900</v>
      </c>
      <c r="E668" s="419"/>
      <c r="F668" s="419">
        <v>-35000</v>
      </c>
      <c r="G668" s="419"/>
      <c r="H668" s="419">
        <f t="shared" si="16"/>
        <v>28900</v>
      </c>
    </row>
    <row r="669" spans="1:8" x14ac:dyDescent="0.2">
      <c r="C669" s="103" t="s">
        <v>187</v>
      </c>
      <c r="D669" s="411">
        <v>48045</v>
      </c>
      <c r="E669" s="411"/>
      <c r="F669" s="411">
        <v>-26315</v>
      </c>
      <c r="G669" s="411"/>
      <c r="H669" s="411">
        <f t="shared" si="16"/>
        <v>21730</v>
      </c>
    </row>
    <row r="670" spans="1:8" x14ac:dyDescent="0.2">
      <c r="C670" s="125"/>
      <c r="D670" s="448"/>
      <c r="E670" s="448"/>
      <c r="F670" s="448"/>
      <c r="G670" s="448"/>
      <c r="H670" s="448">
        <f t="shared" si="16"/>
        <v>0</v>
      </c>
    </row>
    <row r="671" spans="1:8" x14ac:dyDescent="0.2">
      <c r="C671" s="115" t="s">
        <v>194</v>
      </c>
      <c r="D671" s="283"/>
      <c r="E671" s="283"/>
      <c r="F671" s="283"/>
      <c r="G671" s="283"/>
      <c r="H671" s="283">
        <f t="shared" si="16"/>
        <v>0</v>
      </c>
    </row>
    <row r="672" spans="1:8" x14ac:dyDescent="0.2">
      <c r="C672" s="116" t="s">
        <v>397</v>
      </c>
      <c r="D672" s="419">
        <v>69080</v>
      </c>
      <c r="E672" s="419"/>
      <c r="F672" s="419"/>
      <c r="G672" s="419"/>
      <c r="H672" s="419">
        <f t="shared" si="16"/>
        <v>69080</v>
      </c>
    </row>
    <row r="673" spans="3:8" x14ac:dyDescent="0.2">
      <c r="C673" s="103" t="s">
        <v>187</v>
      </c>
      <c r="D673" s="411">
        <v>6000</v>
      </c>
      <c r="E673" s="411"/>
      <c r="F673" s="411"/>
      <c r="G673" s="411"/>
      <c r="H673" s="411">
        <f t="shared" si="16"/>
        <v>6000</v>
      </c>
    </row>
    <row r="674" spans="3:8" x14ac:dyDescent="0.2">
      <c r="C674" s="6"/>
      <c r="D674" s="72"/>
      <c r="E674" s="72"/>
      <c r="F674" s="72"/>
      <c r="G674" s="72"/>
      <c r="H674" s="72">
        <f t="shared" si="16"/>
        <v>0</v>
      </c>
    </row>
    <row r="675" spans="3:8" x14ac:dyDescent="0.2">
      <c r="C675" s="145" t="s">
        <v>246</v>
      </c>
      <c r="D675" s="408">
        <f>D678+D681+D685+D688+D692+D696</f>
        <v>832110</v>
      </c>
      <c r="E675" s="408"/>
      <c r="F675" s="408">
        <f>F678+F681+F685+F688+F692+F696</f>
        <v>0</v>
      </c>
      <c r="G675" s="408">
        <f>G678+G681+G685+G688+G692+G696</f>
        <v>-101070</v>
      </c>
      <c r="H675" s="408">
        <f t="shared" si="16"/>
        <v>731040</v>
      </c>
    </row>
    <row r="676" spans="3:8" x14ac:dyDescent="0.2">
      <c r="C676" s="98" t="s">
        <v>187</v>
      </c>
      <c r="D676" s="411">
        <f>+D682+D689+D693</f>
        <v>31115</v>
      </c>
      <c r="E676" s="411"/>
      <c r="F676" s="411">
        <f>F682+F689+F693</f>
        <v>0</v>
      </c>
      <c r="G676" s="411">
        <f>G682+G689+G693</f>
        <v>0</v>
      </c>
      <c r="H676" s="411">
        <f t="shared" si="16"/>
        <v>31115</v>
      </c>
    </row>
    <row r="677" spans="3:8" x14ac:dyDescent="0.2">
      <c r="C677" s="115" t="s">
        <v>194</v>
      </c>
      <c r="D677" s="283"/>
      <c r="E677" s="283"/>
      <c r="F677" s="283"/>
      <c r="G677" s="283"/>
      <c r="H677" s="283">
        <f t="shared" si="16"/>
        <v>0</v>
      </c>
    </row>
    <row r="678" spans="3:8" x14ac:dyDescent="0.2">
      <c r="C678" s="116" t="s">
        <v>247</v>
      </c>
      <c r="D678" s="419">
        <v>48000</v>
      </c>
      <c r="E678" s="419"/>
      <c r="F678" s="419"/>
      <c r="G678" s="419"/>
      <c r="H678" s="419">
        <f t="shared" si="16"/>
        <v>48000</v>
      </c>
    </row>
    <row r="679" spans="3:8" x14ac:dyDescent="0.2">
      <c r="C679" s="106"/>
      <c r="D679" s="415"/>
      <c r="E679" s="415"/>
      <c r="F679" s="415"/>
      <c r="G679" s="415"/>
      <c r="H679" s="415">
        <f t="shared" si="16"/>
        <v>0</v>
      </c>
    </row>
    <row r="680" spans="3:8" x14ac:dyDescent="0.2">
      <c r="C680" s="115" t="s">
        <v>194</v>
      </c>
      <c r="D680" s="283"/>
      <c r="E680" s="283"/>
      <c r="F680" s="283"/>
      <c r="G680" s="283"/>
      <c r="H680" s="283">
        <f t="shared" si="16"/>
        <v>0</v>
      </c>
    </row>
    <row r="681" spans="3:8" x14ac:dyDescent="0.2">
      <c r="C681" s="116" t="s">
        <v>248</v>
      </c>
      <c r="D681" s="419">
        <f>298240+10000</f>
        <v>308240</v>
      </c>
      <c r="E681" s="419"/>
      <c r="F681" s="419"/>
      <c r="G681" s="419">
        <v>-74640</v>
      </c>
      <c r="H681" s="419">
        <f t="shared" si="16"/>
        <v>233600</v>
      </c>
    </row>
    <row r="682" spans="3:8" x14ac:dyDescent="0.2">
      <c r="C682" s="103" t="s">
        <v>187</v>
      </c>
      <c r="D682" s="411">
        <v>14625</v>
      </c>
      <c r="E682" s="411"/>
      <c r="F682" s="411"/>
      <c r="G682" s="411"/>
      <c r="H682" s="411">
        <f t="shared" si="16"/>
        <v>14625</v>
      </c>
    </row>
    <row r="683" spans="3:8" x14ac:dyDescent="0.2">
      <c r="C683" s="98"/>
      <c r="D683" s="411"/>
      <c r="E683" s="411"/>
      <c r="F683" s="411"/>
      <c r="G683" s="411"/>
      <c r="H683" s="411">
        <f t="shared" si="16"/>
        <v>0</v>
      </c>
    </row>
    <row r="684" spans="3:8" x14ac:dyDescent="0.2">
      <c r="C684" s="115" t="s">
        <v>194</v>
      </c>
      <c r="D684" s="283"/>
      <c r="E684" s="283"/>
      <c r="F684" s="283"/>
      <c r="G684" s="283"/>
      <c r="H684" s="283">
        <f t="shared" si="16"/>
        <v>0</v>
      </c>
    </row>
    <row r="685" spans="3:8" x14ac:dyDescent="0.2">
      <c r="C685" s="116" t="s">
        <v>249</v>
      </c>
      <c r="D685" s="419">
        <f>341330+40000</f>
        <v>381330</v>
      </c>
      <c r="E685" s="419"/>
      <c r="F685" s="419"/>
      <c r="G685" s="419">
        <v>-24430</v>
      </c>
      <c r="H685" s="419">
        <f t="shared" si="16"/>
        <v>356900</v>
      </c>
    </row>
    <row r="686" spans="3:8" x14ac:dyDescent="0.2">
      <c r="C686" s="98"/>
      <c r="D686" s="411"/>
      <c r="E686" s="411"/>
      <c r="F686" s="411"/>
      <c r="G686" s="411"/>
      <c r="H686" s="411">
        <f t="shared" si="16"/>
        <v>0</v>
      </c>
    </row>
    <row r="687" spans="3:8" x14ac:dyDescent="0.2">
      <c r="C687" s="115" t="s">
        <v>194</v>
      </c>
      <c r="D687" s="283"/>
      <c r="E687" s="283"/>
      <c r="F687" s="283"/>
      <c r="G687" s="283"/>
      <c r="H687" s="283">
        <f t="shared" si="16"/>
        <v>0</v>
      </c>
    </row>
    <row r="688" spans="3:8" x14ac:dyDescent="0.2">
      <c r="C688" s="116" t="s">
        <v>250</v>
      </c>
      <c r="D688" s="419">
        <v>53100</v>
      </c>
      <c r="E688" s="419"/>
      <c r="F688" s="419"/>
      <c r="G688" s="419">
        <v>-380</v>
      </c>
      <c r="H688" s="419">
        <f t="shared" si="16"/>
        <v>52720</v>
      </c>
    </row>
    <row r="689" spans="1:8" x14ac:dyDescent="0.2">
      <c r="C689" s="103" t="s">
        <v>187</v>
      </c>
      <c r="D689" s="411">
        <v>15000</v>
      </c>
      <c r="E689" s="411"/>
      <c r="F689" s="411"/>
      <c r="G689" s="411">
        <v>1207</v>
      </c>
      <c r="H689" s="411">
        <f t="shared" si="16"/>
        <v>16207</v>
      </c>
    </row>
    <row r="690" spans="1:8" x14ac:dyDescent="0.2">
      <c r="C690" s="98"/>
      <c r="D690" s="411"/>
      <c r="E690" s="411"/>
      <c r="F690" s="411"/>
      <c r="G690" s="411"/>
      <c r="H690" s="411">
        <f t="shared" si="16"/>
        <v>0</v>
      </c>
    </row>
    <row r="691" spans="1:8" x14ac:dyDescent="0.2">
      <c r="C691" s="115" t="s">
        <v>194</v>
      </c>
      <c r="D691" s="283"/>
      <c r="E691" s="283"/>
      <c r="F691" s="283"/>
      <c r="G691" s="283"/>
      <c r="H691" s="283">
        <f t="shared" si="16"/>
        <v>0</v>
      </c>
    </row>
    <row r="692" spans="1:8" ht="25.5" x14ac:dyDescent="0.2">
      <c r="C692" s="116" t="s">
        <v>251</v>
      </c>
      <c r="D692" s="419">
        <v>22890</v>
      </c>
      <c r="E692" s="419"/>
      <c r="F692" s="419"/>
      <c r="G692" s="419">
        <v>-1620</v>
      </c>
      <c r="H692" s="419">
        <f t="shared" si="16"/>
        <v>21270</v>
      </c>
    </row>
    <row r="693" spans="1:8" x14ac:dyDescent="0.2">
      <c r="C693" s="103" t="s">
        <v>187</v>
      </c>
      <c r="D693" s="411">
        <v>1490</v>
      </c>
      <c r="E693" s="411"/>
      <c r="F693" s="411"/>
      <c r="G693" s="411">
        <v>-1207</v>
      </c>
      <c r="H693" s="411">
        <f t="shared" si="16"/>
        <v>283</v>
      </c>
    </row>
    <row r="694" spans="1:8" x14ac:dyDescent="0.2">
      <c r="C694" s="98"/>
      <c r="D694" s="411"/>
      <c r="E694" s="411"/>
      <c r="F694" s="411"/>
      <c r="G694" s="411"/>
      <c r="H694" s="411">
        <f t="shared" si="16"/>
        <v>0</v>
      </c>
    </row>
    <row r="695" spans="1:8" x14ac:dyDescent="0.2">
      <c r="C695" s="115" t="s">
        <v>194</v>
      </c>
      <c r="D695" s="283"/>
      <c r="E695" s="283"/>
      <c r="F695" s="283"/>
      <c r="G695" s="283"/>
      <c r="H695" s="283">
        <f t="shared" ref="H695:H752" si="17">SUM(D695:G695)</f>
        <v>0</v>
      </c>
    </row>
    <row r="696" spans="1:8" x14ac:dyDescent="0.2">
      <c r="C696" s="116" t="s">
        <v>252</v>
      </c>
      <c r="D696" s="419">
        <v>18550</v>
      </c>
      <c r="E696" s="419"/>
      <c r="F696" s="419"/>
      <c r="G696" s="419"/>
      <c r="H696" s="419">
        <f t="shared" si="17"/>
        <v>18550</v>
      </c>
    </row>
    <row r="697" spans="1:8" x14ac:dyDescent="0.2">
      <c r="C697" s="125"/>
      <c r="D697" s="448"/>
      <c r="E697" s="448"/>
      <c r="F697" s="448"/>
      <c r="G697" s="448"/>
      <c r="H697" s="448">
        <f t="shared" si="17"/>
        <v>0</v>
      </c>
    </row>
    <row r="698" spans="1:8" x14ac:dyDescent="0.2">
      <c r="C698" s="145" t="s">
        <v>92</v>
      </c>
      <c r="D698" s="408">
        <f>D701</f>
        <v>9600</v>
      </c>
      <c r="E698" s="408"/>
      <c r="F698" s="408">
        <f>F701</f>
        <v>0</v>
      </c>
      <c r="G698" s="408">
        <f>G701</f>
        <v>0</v>
      </c>
      <c r="H698" s="408">
        <f t="shared" si="17"/>
        <v>9600</v>
      </c>
    </row>
    <row r="699" spans="1:8" x14ac:dyDescent="0.2">
      <c r="C699" s="98" t="s">
        <v>187</v>
      </c>
      <c r="D699" s="411">
        <f>D702</f>
        <v>656</v>
      </c>
      <c r="E699" s="411"/>
      <c r="F699" s="411">
        <f>F702</f>
        <v>0</v>
      </c>
      <c r="G699" s="411">
        <f>G702</f>
        <v>0</v>
      </c>
      <c r="H699" s="411">
        <f t="shared" si="17"/>
        <v>656</v>
      </c>
    </row>
    <row r="700" spans="1:8" x14ac:dyDescent="0.2">
      <c r="C700" s="115" t="s">
        <v>194</v>
      </c>
      <c r="D700" s="283"/>
      <c r="E700" s="283"/>
      <c r="F700" s="283"/>
      <c r="G700" s="283"/>
      <c r="H700" s="283">
        <f t="shared" si="17"/>
        <v>0</v>
      </c>
    </row>
    <row r="701" spans="1:8" x14ac:dyDescent="0.2">
      <c r="C701" s="116" t="s">
        <v>93</v>
      </c>
      <c r="D701" s="419">
        <v>9600</v>
      </c>
      <c r="E701" s="419"/>
      <c r="F701" s="419"/>
      <c r="G701" s="419"/>
      <c r="H701" s="419">
        <f t="shared" si="17"/>
        <v>9600</v>
      </c>
    </row>
    <row r="702" spans="1:8" x14ac:dyDescent="0.2">
      <c r="C702" s="103" t="s">
        <v>187</v>
      </c>
      <c r="D702" s="411">
        <v>656</v>
      </c>
      <c r="E702" s="411"/>
      <c r="F702" s="411"/>
      <c r="G702" s="411"/>
      <c r="H702" s="411">
        <f t="shared" si="17"/>
        <v>656</v>
      </c>
    </row>
    <row r="703" spans="1:8" x14ac:dyDescent="0.2">
      <c r="C703" s="124"/>
      <c r="D703" s="430"/>
      <c r="E703" s="430"/>
      <c r="F703" s="430"/>
      <c r="G703" s="430"/>
      <c r="H703" s="430">
        <f t="shared" si="17"/>
        <v>0</v>
      </c>
    </row>
    <row r="704" spans="1:8" ht="15" x14ac:dyDescent="0.2">
      <c r="A704" s="6" t="s">
        <v>683</v>
      </c>
      <c r="B704" s="6" t="s">
        <v>167</v>
      </c>
      <c r="C704" s="144" t="s">
        <v>237</v>
      </c>
      <c r="D704" s="423">
        <f>D705</f>
        <v>812600</v>
      </c>
      <c r="E704" s="423"/>
      <c r="F704" s="423">
        <f>F705</f>
        <v>41660</v>
      </c>
      <c r="G704" s="423">
        <f>G705</f>
        <v>0</v>
      </c>
      <c r="H704" s="423">
        <f t="shared" si="17"/>
        <v>854260</v>
      </c>
    </row>
    <row r="705" spans="1:8" x14ac:dyDescent="0.2">
      <c r="C705" s="145" t="s">
        <v>454</v>
      </c>
      <c r="D705" s="408">
        <f>D708</f>
        <v>812600</v>
      </c>
      <c r="E705" s="408"/>
      <c r="F705" s="408">
        <f>F708</f>
        <v>41660</v>
      </c>
      <c r="G705" s="408">
        <f>G708</f>
        <v>0</v>
      </c>
      <c r="H705" s="408">
        <f t="shared" si="17"/>
        <v>854260</v>
      </c>
    </row>
    <row r="706" spans="1:8" x14ac:dyDescent="0.2">
      <c r="C706" s="98" t="s">
        <v>187</v>
      </c>
      <c r="D706" s="411">
        <f>D709</f>
        <v>235190</v>
      </c>
      <c r="E706" s="411"/>
      <c r="F706" s="411">
        <f>F709</f>
        <v>14175</v>
      </c>
      <c r="G706" s="411">
        <f>G709</f>
        <v>0</v>
      </c>
      <c r="H706" s="411">
        <f t="shared" si="17"/>
        <v>249365</v>
      </c>
    </row>
    <row r="707" spans="1:8" x14ac:dyDescent="0.2">
      <c r="C707" s="115" t="s">
        <v>194</v>
      </c>
      <c r="D707" s="283"/>
      <c r="E707" s="283"/>
      <c r="F707" s="283"/>
      <c r="G707" s="283"/>
      <c r="H707" s="283">
        <f t="shared" si="17"/>
        <v>0</v>
      </c>
    </row>
    <row r="708" spans="1:8" x14ac:dyDescent="0.2">
      <c r="C708" s="116" t="s">
        <v>575</v>
      </c>
      <c r="D708" s="419">
        <v>812600</v>
      </c>
      <c r="E708" s="419"/>
      <c r="F708" s="419">
        <v>41660</v>
      </c>
      <c r="G708" s="419"/>
      <c r="H708" s="419">
        <f t="shared" si="17"/>
        <v>854260</v>
      </c>
    </row>
    <row r="709" spans="1:8" x14ac:dyDescent="0.2">
      <c r="C709" s="103" t="s">
        <v>187</v>
      </c>
      <c r="D709" s="411">
        <v>235190</v>
      </c>
      <c r="E709" s="411"/>
      <c r="F709" s="411">
        <v>14175</v>
      </c>
      <c r="G709" s="411"/>
      <c r="H709" s="411">
        <f t="shared" si="17"/>
        <v>249365</v>
      </c>
    </row>
    <row r="710" spans="1:8" x14ac:dyDescent="0.2">
      <c r="C710" s="126" t="s">
        <v>508</v>
      </c>
      <c r="D710" s="411">
        <v>215000</v>
      </c>
      <c r="E710" s="411"/>
      <c r="F710" s="411"/>
      <c r="G710" s="411"/>
      <c r="H710" s="411">
        <f t="shared" si="17"/>
        <v>215000</v>
      </c>
    </row>
    <row r="711" spans="1:8" x14ac:dyDescent="0.2">
      <c r="C711" s="124"/>
      <c r="D711" s="430"/>
      <c r="E711" s="430"/>
      <c r="F711" s="430"/>
      <c r="G711" s="430"/>
      <c r="H711" s="430">
        <f t="shared" si="17"/>
        <v>0</v>
      </c>
    </row>
    <row r="712" spans="1:8" x14ac:dyDescent="0.2">
      <c r="C712" s="108" t="s">
        <v>186</v>
      </c>
      <c r="D712" s="408">
        <f>D714+D717+D723+D728+D730+D732+D734+D736+D738+D726</f>
        <v>6869464</v>
      </c>
      <c r="E712" s="408"/>
      <c r="F712" s="408">
        <f>F714+F717+F723+F726+F728+F730+F732+F734+F736+F738</f>
        <v>22040</v>
      </c>
      <c r="G712" s="408">
        <f>G714+G717+G723+G726+G728+G730+G732+G734+G736+G738+G740+G742</f>
        <v>206936</v>
      </c>
      <c r="H712" s="408">
        <f t="shared" si="17"/>
        <v>7098440</v>
      </c>
    </row>
    <row r="713" spans="1:8" x14ac:dyDescent="0.2">
      <c r="C713" s="125"/>
      <c r="D713" s="448"/>
      <c r="E713" s="448"/>
      <c r="F713" s="448"/>
      <c r="G713" s="448"/>
      <c r="H713" s="448">
        <f t="shared" si="17"/>
        <v>0</v>
      </c>
    </row>
    <row r="714" spans="1:8" x14ac:dyDescent="0.2">
      <c r="A714" s="6" t="s">
        <v>684</v>
      </c>
      <c r="B714" s="6" t="s">
        <v>167</v>
      </c>
      <c r="C714" s="101" t="s">
        <v>253</v>
      </c>
      <c r="D714" s="406">
        <v>1877414</v>
      </c>
      <c r="E714" s="406"/>
      <c r="F714" s="406"/>
      <c r="G714" s="406">
        <v>-1064</v>
      </c>
      <c r="H714" s="406">
        <f t="shared" si="17"/>
        <v>1876350</v>
      </c>
    </row>
    <row r="715" spans="1:8" x14ac:dyDescent="0.2">
      <c r="C715" s="93" t="s">
        <v>187</v>
      </c>
      <c r="D715" s="411">
        <v>1222679</v>
      </c>
      <c r="E715" s="411"/>
      <c r="F715" s="411">
        <v>17820</v>
      </c>
      <c r="G715" s="411">
        <v>-795</v>
      </c>
      <c r="H715" s="411">
        <f t="shared" si="17"/>
        <v>1239704</v>
      </c>
    </row>
    <row r="716" spans="1:8" x14ac:dyDescent="0.2">
      <c r="C716" s="93"/>
      <c r="D716" s="411"/>
      <c r="E716" s="411"/>
      <c r="F716" s="411"/>
      <c r="G716" s="411"/>
      <c r="H716" s="411">
        <f t="shared" si="17"/>
        <v>0</v>
      </c>
    </row>
    <row r="717" spans="1:8" x14ac:dyDescent="0.2">
      <c r="A717" s="6" t="s">
        <v>684</v>
      </c>
      <c r="B717" s="6" t="s">
        <v>167</v>
      </c>
      <c r="C717" s="92" t="s">
        <v>455</v>
      </c>
      <c r="D717" s="388">
        <f>D718+D719+D720+D721</f>
        <v>321100</v>
      </c>
      <c r="E717" s="388"/>
      <c r="F717" s="388">
        <f>F718+F719+F720+F721</f>
        <v>0</v>
      </c>
      <c r="G717" s="388">
        <f>G718+G719+G720+G721</f>
        <v>0</v>
      </c>
      <c r="H717" s="388">
        <f t="shared" si="17"/>
        <v>321100</v>
      </c>
    </row>
    <row r="718" spans="1:8" x14ac:dyDescent="0.2">
      <c r="C718" s="147" t="s">
        <v>94</v>
      </c>
      <c r="D718" s="397">
        <v>145520</v>
      </c>
      <c r="E718" s="397"/>
      <c r="F718" s="397">
        <v>10000</v>
      </c>
      <c r="G718" s="397"/>
      <c r="H718" s="397">
        <f t="shared" si="17"/>
        <v>155520</v>
      </c>
    </row>
    <row r="719" spans="1:8" x14ac:dyDescent="0.2">
      <c r="C719" s="147" t="s">
        <v>95</v>
      </c>
      <c r="D719" s="397">
        <v>47000</v>
      </c>
      <c r="E719" s="397"/>
      <c r="F719" s="397">
        <v>-30000</v>
      </c>
      <c r="G719" s="397"/>
      <c r="H719" s="397">
        <f t="shared" si="17"/>
        <v>17000</v>
      </c>
    </row>
    <row r="720" spans="1:8" x14ac:dyDescent="0.2">
      <c r="C720" s="147" t="s">
        <v>254</v>
      </c>
      <c r="D720" s="397">
        <v>44670</v>
      </c>
      <c r="E720" s="397"/>
      <c r="F720" s="397"/>
      <c r="G720" s="397"/>
      <c r="H720" s="397">
        <f t="shared" si="17"/>
        <v>44670</v>
      </c>
    </row>
    <row r="721" spans="1:8" x14ac:dyDescent="0.2">
      <c r="C721" s="147" t="s">
        <v>255</v>
      </c>
      <c r="D721" s="397">
        <v>83910</v>
      </c>
      <c r="E721" s="397"/>
      <c r="F721" s="397">
        <v>20000</v>
      </c>
      <c r="G721" s="397"/>
      <c r="H721" s="397">
        <f t="shared" si="17"/>
        <v>103910</v>
      </c>
    </row>
    <row r="722" spans="1:8" x14ac:dyDescent="0.2">
      <c r="C722" s="147"/>
      <c r="D722" s="397"/>
      <c r="E722" s="397"/>
      <c r="F722" s="397"/>
      <c r="G722" s="397"/>
      <c r="H722" s="397">
        <f t="shared" si="17"/>
        <v>0</v>
      </c>
    </row>
    <row r="723" spans="1:8" x14ac:dyDescent="0.2">
      <c r="A723" s="6" t="s">
        <v>682</v>
      </c>
      <c r="B723" s="6" t="s">
        <v>167</v>
      </c>
      <c r="C723" s="101" t="s">
        <v>96</v>
      </c>
      <c r="D723" s="406">
        <v>340000</v>
      </c>
      <c r="E723" s="406"/>
      <c r="F723" s="406">
        <v>35000</v>
      </c>
      <c r="G723" s="406"/>
      <c r="H723" s="406">
        <f t="shared" si="17"/>
        <v>375000</v>
      </c>
    </row>
    <row r="724" spans="1:8" x14ac:dyDescent="0.2">
      <c r="C724" s="93" t="s">
        <v>187</v>
      </c>
      <c r="D724" s="411">
        <v>207388</v>
      </c>
      <c r="E724" s="411"/>
      <c r="F724" s="411">
        <v>26315</v>
      </c>
      <c r="G724" s="411"/>
      <c r="H724" s="411">
        <f t="shared" si="17"/>
        <v>233703</v>
      </c>
    </row>
    <row r="725" spans="1:8" x14ac:dyDescent="0.2">
      <c r="C725" s="93"/>
      <c r="D725" s="411"/>
      <c r="E725" s="411"/>
      <c r="F725" s="411"/>
      <c r="G725" s="411"/>
      <c r="H725" s="411">
        <f t="shared" si="17"/>
        <v>0</v>
      </c>
    </row>
    <row r="726" spans="1:8" x14ac:dyDescent="0.2">
      <c r="A726" s="6" t="s">
        <v>684</v>
      </c>
      <c r="B726" s="6" t="s">
        <v>167</v>
      </c>
      <c r="C726" s="101" t="s">
        <v>615</v>
      </c>
      <c r="D726" s="406">
        <v>25000</v>
      </c>
      <c r="E726" s="406"/>
      <c r="F726" s="406"/>
      <c r="G726" s="406"/>
      <c r="H726" s="406">
        <f t="shared" si="17"/>
        <v>25000</v>
      </c>
    </row>
    <row r="727" spans="1:8" x14ac:dyDescent="0.2">
      <c r="C727" s="92"/>
      <c r="D727" s="388"/>
      <c r="E727" s="388"/>
      <c r="F727" s="388"/>
      <c r="G727" s="388"/>
      <c r="H727" s="388">
        <f t="shared" si="17"/>
        <v>0</v>
      </c>
    </row>
    <row r="728" spans="1:8" x14ac:dyDescent="0.2">
      <c r="A728" s="6" t="s">
        <v>684</v>
      </c>
      <c r="B728" s="6" t="s">
        <v>167</v>
      </c>
      <c r="C728" s="92" t="s">
        <v>571</v>
      </c>
      <c r="D728" s="388">
        <f>447380+80000+20000</f>
        <v>547380</v>
      </c>
      <c r="E728" s="388"/>
      <c r="F728" s="388"/>
      <c r="G728" s="388"/>
      <c r="H728" s="388">
        <f t="shared" si="17"/>
        <v>547380</v>
      </c>
    </row>
    <row r="729" spans="1:8" x14ac:dyDescent="0.2">
      <c r="C729" s="148"/>
      <c r="D729" s="409"/>
      <c r="E729" s="409"/>
      <c r="F729" s="409"/>
      <c r="G729" s="409"/>
      <c r="H729" s="409">
        <f t="shared" si="17"/>
        <v>0</v>
      </c>
    </row>
    <row r="730" spans="1:8" x14ac:dyDescent="0.2">
      <c r="A730" s="6" t="s">
        <v>679</v>
      </c>
      <c r="B730" s="6" t="s">
        <v>167</v>
      </c>
      <c r="C730" s="101" t="s">
        <v>97</v>
      </c>
      <c r="D730" s="406">
        <v>190000</v>
      </c>
      <c r="E730" s="406"/>
      <c r="F730" s="406"/>
      <c r="G730" s="406"/>
      <c r="H730" s="406">
        <f t="shared" si="17"/>
        <v>190000</v>
      </c>
    </row>
    <row r="731" spans="1:8" x14ac:dyDescent="0.2">
      <c r="C731" s="101"/>
      <c r="D731" s="406"/>
      <c r="E731" s="406"/>
      <c r="F731" s="406"/>
      <c r="G731" s="406"/>
      <c r="H731" s="406">
        <f t="shared" si="17"/>
        <v>0</v>
      </c>
    </row>
    <row r="732" spans="1:8" x14ac:dyDescent="0.2">
      <c r="A732" s="6" t="s">
        <v>679</v>
      </c>
      <c r="B732" s="6" t="s">
        <v>167</v>
      </c>
      <c r="C732" s="101" t="s">
        <v>98</v>
      </c>
      <c r="D732" s="406">
        <v>3380000</v>
      </c>
      <c r="E732" s="406"/>
      <c r="F732" s="406">
        <v>50000</v>
      </c>
      <c r="G732" s="406"/>
      <c r="H732" s="406">
        <f t="shared" si="17"/>
        <v>3430000</v>
      </c>
    </row>
    <row r="733" spans="1:8" x14ac:dyDescent="0.2">
      <c r="C733" s="90"/>
      <c r="D733" s="72"/>
      <c r="E733" s="72"/>
      <c r="F733" s="72"/>
      <c r="G733" s="72"/>
      <c r="H733" s="72">
        <f t="shared" si="17"/>
        <v>0</v>
      </c>
    </row>
    <row r="734" spans="1:8" x14ac:dyDescent="0.2">
      <c r="A734" s="6" t="s">
        <v>684</v>
      </c>
      <c r="B734" s="6" t="s">
        <v>167</v>
      </c>
      <c r="C734" s="92" t="s">
        <v>99</v>
      </c>
      <c r="D734" s="388">
        <v>20570</v>
      </c>
      <c r="E734" s="388"/>
      <c r="F734" s="388"/>
      <c r="G734" s="388"/>
      <c r="H734" s="388">
        <f t="shared" si="17"/>
        <v>20570</v>
      </c>
    </row>
    <row r="735" spans="1:8" x14ac:dyDescent="0.2">
      <c r="C735" s="92"/>
      <c r="D735" s="388"/>
      <c r="E735" s="388"/>
      <c r="F735" s="388"/>
      <c r="G735" s="388"/>
      <c r="H735" s="388">
        <f t="shared" si="17"/>
        <v>0</v>
      </c>
    </row>
    <row r="736" spans="1:8" x14ac:dyDescent="0.2">
      <c r="A736" s="6" t="s">
        <v>684</v>
      </c>
      <c r="B736" s="6" t="s">
        <v>167</v>
      </c>
      <c r="C736" s="92" t="s">
        <v>606</v>
      </c>
      <c r="D736" s="388">
        <v>18000</v>
      </c>
      <c r="E736" s="388"/>
      <c r="F736" s="388"/>
      <c r="G736" s="388"/>
      <c r="H736" s="388">
        <f t="shared" si="17"/>
        <v>18000</v>
      </c>
    </row>
    <row r="737" spans="1:8" x14ac:dyDescent="0.2">
      <c r="C737" s="92"/>
      <c r="D737" s="388"/>
      <c r="E737" s="388"/>
      <c r="F737" s="388"/>
      <c r="G737" s="388"/>
      <c r="H737" s="388">
        <f t="shared" si="17"/>
        <v>0</v>
      </c>
    </row>
    <row r="738" spans="1:8" x14ac:dyDescent="0.2">
      <c r="A738" s="6" t="s">
        <v>682</v>
      </c>
      <c r="B738" s="6" t="s">
        <v>167</v>
      </c>
      <c r="C738" s="92" t="s">
        <v>607</v>
      </c>
      <c r="D738" s="388">
        <f>250000-100000</f>
        <v>150000</v>
      </c>
      <c r="E738" s="388"/>
      <c r="F738" s="388">
        <v>-62960</v>
      </c>
      <c r="G738" s="388">
        <v>-12000</v>
      </c>
      <c r="H738" s="388">
        <f t="shared" si="17"/>
        <v>75040</v>
      </c>
    </row>
    <row r="739" spans="1:8" x14ac:dyDescent="0.2">
      <c r="C739" s="92"/>
      <c r="D739" s="388"/>
      <c r="E739" s="388"/>
      <c r="F739" s="388"/>
      <c r="G739" s="388"/>
      <c r="H739" s="388">
        <f t="shared" si="17"/>
        <v>0</v>
      </c>
    </row>
    <row r="740" spans="1:8" x14ac:dyDescent="0.2">
      <c r="A740" s="6" t="s">
        <v>684</v>
      </c>
      <c r="B740" s="6" t="s">
        <v>167</v>
      </c>
      <c r="C740" s="92" t="s">
        <v>854</v>
      </c>
      <c r="D740" s="388"/>
      <c r="E740" s="388"/>
      <c r="F740" s="388"/>
      <c r="G740" s="388">
        <v>20000</v>
      </c>
      <c r="H740" s="388">
        <f t="shared" si="17"/>
        <v>20000</v>
      </c>
    </row>
    <row r="741" spans="1:8" x14ac:dyDescent="0.2">
      <c r="C741" s="92"/>
      <c r="D741" s="388"/>
      <c r="E741" s="388"/>
      <c r="F741" s="388"/>
      <c r="G741" s="388"/>
      <c r="H741" s="388">
        <f t="shared" si="17"/>
        <v>0</v>
      </c>
    </row>
    <row r="742" spans="1:8" x14ac:dyDescent="0.2">
      <c r="A742" s="6" t="s">
        <v>860</v>
      </c>
      <c r="B742" s="6" t="s">
        <v>167</v>
      </c>
      <c r="C742" s="92" t="s">
        <v>855</v>
      </c>
      <c r="D742" s="388"/>
      <c r="E742" s="388"/>
      <c r="F742" s="388"/>
      <c r="G742" s="388">
        <v>200000</v>
      </c>
      <c r="H742" s="388">
        <f t="shared" si="17"/>
        <v>200000</v>
      </c>
    </row>
    <row r="743" spans="1:8" x14ac:dyDescent="0.2">
      <c r="C743" s="92"/>
      <c r="D743" s="388"/>
      <c r="E743" s="388"/>
      <c r="F743" s="388"/>
      <c r="G743" s="388"/>
      <c r="H743" s="388">
        <f t="shared" si="17"/>
        <v>0</v>
      </c>
    </row>
    <row r="744" spans="1:8" x14ac:dyDescent="0.2">
      <c r="C744" s="136"/>
      <c r="D744" s="416"/>
      <c r="E744" s="416"/>
      <c r="F744" s="416"/>
      <c r="G744" s="416"/>
      <c r="H744" s="416">
        <f t="shared" si="17"/>
        <v>0</v>
      </c>
    </row>
    <row r="745" spans="1:8" ht="15.75" x14ac:dyDescent="0.2">
      <c r="C745" s="118" t="s">
        <v>728</v>
      </c>
      <c r="D745" s="407"/>
      <c r="E745" s="407"/>
      <c r="F745" s="407"/>
      <c r="G745" s="407"/>
      <c r="H745" s="407">
        <f t="shared" si="17"/>
        <v>0</v>
      </c>
    </row>
    <row r="746" spans="1:8" x14ac:dyDescent="0.2">
      <c r="C746" s="108"/>
      <c r="D746" s="408"/>
      <c r="E746" s="408"/>
      <c r="F746" s="408"/>
      <c r="G746" s="408"/>
      <c r="H746" s="408">
        <f t="shared" si="17"/>
        <v>0</v>
      </c>
    </row>
    <row r="747" spans="1:8" x14ac:dyDescent="0.2">
      <c r="C747" s="108" t="s">
        <v>182</v>
      </c>
      <c r="D747" s="408">
        <f>SUM(D754,D773)</f>
        <v>66982825</v>
      </c>
      <c r="E747" s="408"/>
      <c r="F747" s="408">
        <f>SUM(F754,F773)</f>
        <v>20000</v>
      </c>
      <c r="G747" s="408">
        <f>SUM(G754,G773)</f>
        <v>-16850</v>
      </c>
      <c r="H747" s="408">
        <f t="shared" si="17"/>
        <v>66985975</v>
      </c>
    </row>
    <row r="748" spans="1:8" x14ac:dyDescent="0.2">
      <c r="C748" s="79" t="s">
        <v>201</v>
      </c>
      <c r="D748" s="409">
        <v>1650000</v>
      </c>
      <c r="E748" s="409"/>
      <c r="F748" s="409"/>
      <c r="G748" s="409"/>
      <c r="H748" s="409">
        <f t="shared" si="17"/>
        <v>1650000</v>
      </c>
    </row>
    <row r="749" spans="1:8" x14ac:dyDescent="0.2">
      <c r="C749" s="109" t="s">
        <v>183</v>
      </c>
      <c r="D749" s="386">
        <f>SUM(D750:D752)</f>
        <v>66982825</v>
      </c>
      <c r="E749" s="386"/>
      <c r="F749" s="386">
        <f>SUM(F750:F752)</f>
        <v>20000</v>
      </c>
      <c r="G749" s="386">
        <f>SUM(G750:G752)</f>
        <v>-16850</v>
      </c>
      <c r="H749" s="386">
        <f t="shared" si="17"/>
        <v>66985975</v>
      </c>
    </row>
    <row r="750" spans="1:8" x14ac:dyDescent="0.2">
      <c r="C750" s="110" t="s">
        <v>184</v>
      </c>
      <c r="D750" s="409">
        <f>'2.2 OMATULUD'!B409</f>
        <v>1278670</v>
      </c>
      <c r="E750" s="409"/>
      <c r="F750" s="409"/>
      <c r="G750" s="409">
        <v>-13400</v>
      </c>
      <c r="H750" s="409">
        <f t="shared" si="17"/>
        <v>1265270</v>
      </c>
    </row>
    <row r="751" spans="1:8" x14ac:dyDescent="0.2">
      <c r="C751" s="111" t="s">
        <v>165</v>
      </c>
      <c r="D751" s="409"/>
      <c r="E751" s="409"/>
      <c r="F751" s="409">
        <f>SUM(F790)</f>
        <v>20000</v>
      </c>
      <c r="G751" s="409"/>
      <c r="H751" s="409">
        <f t="shared" si="17"/>
        <v>20000</v>
      </c>
    </row>
    <row r="752" spans="1:8" x14ac:dyDescent="0.2">
      <c r="C752" s="111" t="s">
        <v>185</v>
      </c>
      <c r="D752" s="409">
        <f>D747-D750</f>
        <v>65704155</v>
      </c>
      <c r="E752" s="409"/>
      <c r="F752" s="409">
        <f>F747-F751-F750</f>
        <v>0</v>
      </c>
      <c r="G752" s="409">
        <f>G747-G750</f>
        <v>-3450</v>
      </c>
      <c r="H752" s="409">
        <f t="shared" si="17"/>
        <v>65700705</v>
      </c>
    </row>
    <row r="753" spans="1:8" x14ac:dyDescent="0.2">
      <c r="C753" s="192"/>
      <c r="D753" s="409"/>
      <c r="E753" s="409"/>
      <c r="F753" s="409"/>
      <c r="G753" s="409"/>
      <c r="H753" s="409">
        <f t="shared" ref="H753:H816" si="18">SUM(D753:G753)</f>
        <v>0</v>
      </c>
    </row>
    <row r="754" spans="1:8" ht="15" x14ac:dyDescent="0.2">
      <c r="A754" s="6" t="s">
        <v>685</v>
      </c>
      <c r="B754" s="6" t="s">
        <v>168</v>
      </c>
      <c r="C754" s="144" t="s">
        <v>256</v>
      </c>
      <c r="D754" s="423">
        <f>SUM(D755,D767,D771)</f>
        <v>64859165</v>
      </c>
      <c r="E754" s="423"/>
      <c r="F754" s="423">
        <f>SUM(F755,F767,F771)</f>
        <v>-13950</v>
      </c>
      <c r="G754" s="423">
        <f>SUM(G755,G767,G771)</f>
        <v>-6700</v>
      </c>
      <c r="H754" s="423">
        <f t="shared" si="18"/>
        <v>64838515</v>
      </c>
    </row>
    <row r="755" spans="1:8" x14ac:dyDescent="0.2">
      <c r="C755" s="112" t="s">
        <v>257</v>
      </c>
      <c r="D755" s="283">
        <f>SUM(D757,D762,D765)</f>
        <v>62308865</v>
      </c>
      <c r="E755" s="283"/>
      <c r="F755" s="283">
        <f>SUM(F757,F762,F765)</f>
        <v>-13950</v>
      </c>
      <c r="G755" s="283">
        <f>SUM(G757,G762,G765)</f>
        <v>-6700</v>
      </c>
      <c r="H755" s="283">
        <f t="shared" si="18"/>
        <v>62288215</v>
      </c>
    </row>
    <row r="756" spans="1:8" x14ac:dyDescent="0.2">
      <c r="C756" s="115" t="s">
        <v>194</v>
      </c>
      <c r="D756" s="283"/>
      <c r="E756" s="283"/>
      <c r="F756" s="283"/>
      <c r="G756" s="283"/>
      <c r="H756" s="283">
        <f t="shared" si="18"/>
        <v>0</v>
      </c>
    </row>
    <row r="757" spans="1:8" x14ac:dyDescent="0.2">
      <c r="C757" s="116" t="s">
        <v>422</v>
      </c>
      <c r="D757" s="419">
        <v>60934165</v>
      </c>
      <c r="E757" s="419">
        <v>0</v>
      </c>
      <c r="F757" s="419">
        <v>0</v>
      </c>
      <c r="G757" s="419"/>
      <c r="H757" s="419">
        <f t="shared" si="18"/>
        <v>60934165</v>
      </c>
    </row>
    <row r="758" spans="1:8" x14ac:dyDescent="0.2">
      <c r="C758" s="116"/>
      <c r="D758" s="419"/>
      <c r="E758" s="419"/>
      <c r="F758" s="419"/>
      <c r="G758" s="419"/>
      <c r="H758" s="419">
        <f t="shared" si="18"/>
        <v>0</v>
      </c>
    </row>
    <row r="759" spans="1:8" ht="22.5" x14ac:dyDescent="0.2">
      <c r="C759" s="193" t="s">
        <v>423</v>
      </c>
      <c r="D759" s="420"/>
      <c r="E759" s="420"/>
      <c r="F759" s="420"/>
      <c r="G759" s="420"/>
      <c r="H759" s="420">
        <f t="shared" si="18"/>
        <v>0</v>
      </c>
    </row>
    <row r="760" spans="1:8" x14ac:dyDescent="0.2">
      <c r="C760" s="174"/>
      <c r="D760" s="420"/>
      <c r="E760" s="420"/>
      <c r="F760" s="420"/>
      <c r="G760" s="420"/>
      <c r="H760" s="420">
        <f t="shared" si="18"/>
        <v>0</v>
      </c>
    </row>
    <row r="761" spans="1:8" x14ac:dyDescent="0.2">
      <c r="C761" s="115" t="s">
        <v>194</v>
      </c>
      <c r="D761" s="283"/>
      <c r="E761" s="283"/>
      <c r="F761" s="283"/>
      <c r="G761" s="283"/>
      <c r="H761" s="283">
        <f t="shared" si="18"/>
        <v>0</v>
      </c>
    </row>
    <row r="762" spans="1:8" x14ac:dyDescent="0.2">
      <c r="C762" s="116" t="s">
        <v>258</v>
      </c>
      <c r="D762" s="419">
        <v>1180000</v>
      </c>
      <c r="E762" s="419"/>
      <c r="F762" s="419"/>
      <c r="G762" s="419"/>
      <c r="H762" s="419">
        <f t="shared" si="18"/>
        <v>1180000</v>
      </c>
    </row>
    <row r="763" spans="1:8" x14ac:dyDescent="0.2">
      <c r="C763" s="165"/>
      <c r="D763" s="445"/>
      <c r="E763" s="445"/>
      <c r="F763" s="445"/>
      <c r="G763" s="445"/>
      <c r="H763" s="445">
        <f t="shared" si="18"/>
        <v>0</v>
      </c>
    </row>
    <row r="764" spans="1:8" x14ac:dyDescent="0.2">
      <c r="C764" s="115" t="s">
        <v>260</v>
      </c>
      <c r="D764" s="283"/>
      <c r="E764" s="283"/>
      <c r="F764" s="283"/>
      <c r="G764" s="283"/>
      <c r="H764" s="283">
        <f t="shared" si="18"/>
        <v>0</v>
      </c>
    </row>
    <row r="765" spans="1:8" x14ac:dyDescent="0.2">
      <c r="C765" s="116" t="s">
        <v>261</v>
      </c>
      <c r="D765" s="419">
        <v>194700</v>
      </c>
      <c r="E765" s="419"/>
      <c r="F765" s="419">
        <v>-13950</v>
      </c>
      <c r="G765" s="419">
        <v>-6700</v>
      </c>
      <c r="H765" s="419">
        <f t="shared" si="18"/>
        <v>174050</v>
      </c>
    </row>
    <row r="766" spans="1:8" x14ac:dyDescent="0.2">
      <c r="C766" s="179"/>
      <c r="D766" s="449"/>
      <c r="E766" s="449"/>
      <c r="F766" s="449"/>
      <c r="G766" s="449"/>
      <c r="H766" s="449">
        <f t="shared" si="18"/>
        <v>0</v>
      </c>
    </row>
    <row r="767" spans="1:8" x14ac:dyDescent="0.2">
      <c r="C767" s="112" t="s">
        <v>621</v>
      </c>
      <c r="D767" s="283">
        <v>1332600</v>
      </c>
      <c r="E767" s="283"/>
      <c r="F767" s="283"/>
      <c r="G767" s="283"/>
      <c r="H767" s="283">
        <f t="shared" si="18"/>
        <v>1332600</v>
      </c>
    </row>
    <row r="768" spans="1:8" x14ac:dyDescent="0.2">
      <c r="C768" s="255"/>
      <c r="D768" s="450"/>
      <c r="E768" s="450"/>
      <c r="F768" s="450"/>
      <c r="G768" s="450"/>
      <c r="H768" s="450">
        <f t="shared" si="18"/>
        <v>0</v>
      </c>
    </row>
    <row r="769" spans="1:8" ht="45" x14ac:dyDescent="0.2">
      <c r="C769" s="256" t="s">
        <v>628</v>
      </c>
      <c r="D769" s="433"/>
      <c r="E769" s="433"/>
      <c r="F769" s="433"/>
      <c r="G769" s="433"/>
      <c r="H769" s="433">
        <f t="shared" si="18"/>
        <v>0</v>
      </c>
    </row>
    <row r="770" spans="1:8" x14ac:dyDescent="0.2">
      <c r="C770" s="164"/>
      <c r="D770" s="419"/>
      <c r="E770" s="419"/>
      <c r="F770" s="419"/>
      <c r="G770" s="419"/>
      <c r="H770" s="419">
        <f t="shared" si="18"/>
        <v>0</v>
      </c>
    </row>
    <row r="771" spans="1:8" x14ac:dyDescent="0.2">
      <c r="C771" s="112" t="s">
        <v>262</v>
      </c>
      <c r="D771" s="283">
        <v>1217700</v>
      </c>
      <c r="E771" s="283"/>
      <c r="F771" s="283"/>
      <c r="G771" s="283"/>
      <c r="H771" s="283">
        <f t="shared" si="18"/>
        <v>1217700</v>
      </c>
    </row>
    <row r="772" spans="1:8" x14ac:dyDescent="0.2">
      <c r="C772" s="164"/>
      <c r="D772" s="419"/>
      <c r="E772" s="419"/>
      <c r="F772" s="419"/>
      <c r="G772" s="419"/>
      <c r="H772" s="419">
        <f t="shared" si="18"/>
        <v>0</v>
      </c>
    </row>
    <row r="773" spans="1:8" x14ac:dyDescent="0.2">
      <c r="C773" s="108" t="s">
        <v>186</v>
      </c>
      <c r="D773" s="408">
        <f>SUM(D775,D778,D783,D792,D797,D799)</f>
        <v>2123660</v>
      </c>
      <c r="E773" s="408"/>
      <c r="F773" s="408">
        <f>SUM(F775,F778,F783,F787,F792,F797,F799)</f>
        <v>33950</v>
      </c>
      <c r="G773" s="408">
        <f>SUM(G775,G778,G783,G792,G797,G799)</f>
        <v>-10150</v>
      </c>
      <c r="H773" s="408">
        <f t="shared" si="18"/>
        <v>2147460</v>
      </c>
    </row>
    <row r="774" spans="1:8" x14ac:dyDescent="0.2">
      <c r="C774" s="108"/>
      <c r="D774" s="408"/>
      <c r="E774" s="408"/>
      <c r="F774" s="408"/>
      <c r="G774" s="408"/>
      <c r="H774" s="408">
        <f t="shared" si="18"/>
        <v>0</v>
      </c>
    </row>
    <row r="775" spans="1:8" x14ac:dyDescent="0.2">
      <c r="A775" s="6" t="s">
        <v>685</v>
      </c>
      <c r="B775" s="6" t="s">
        <v>168</v>
      </c>
      <c r="C775" s="92" t="s">
        <v>729</v>
      </c>
      <c r="D775" s="388">
        <f>1417437+1923</f>
        <v>1419360</v>
      </c>
      <c r="E775" s="388"/>
      <c r="F775" s="388"/>
      <c r="G775" s="388">
        <f>-9656-9400</f>
        <v>-19056</v>
      </c>
      <c r="H775" s="388">
        <f t="shared" si="18"/>
        <v>1400304</v>
      </c>
    </row>
    <row r="776" spans="1:8" x14ac:dyDescent="0.2">
      <c r="C776" s="93" t="s">
        <v>187</v>
      </c>
      <c r="D776" s="411">
        <f>894494+1435</f>
        <v>895929</v>
      </c>
      <c r="E776" s="411"/>
      <c r="F776" s="411">
        <v>6960</v>
      </c>
      <c r="G776" s="411"/>
      <c r="H776" s="411">
        <f t="shared" si="18"/>
        <v>902889</v>
      </c>
    </row>
    <row r="777" spans="1:8" x14ac:dyDescent="0.2">
      <c r="C777" s="148"/>
      <c r="D777" s="409"/>
      <c r="E777" s="409"/>
      <c r="F777" s="409"/>
      <c r="G777" s="409"/>
      <c r="H777" s="409">
        <f t="shared" si="18"/>
        <v>0</v>
      </c>
    </row>
    <row r="778" spans="1:8" x14ac:dyDescent="0.2">
      <c r="A778" s="6" t="s">
        <v>685</v>
      </c>
      <c r="B778" s="6" t="s">
        <v>168</v>
      </c>
      <c r="C778" s="90" t="s">
        <v>475</v>
      </c>
      <c r="D778" s="72">
        <f>SUM(D779:D781)</f>
        <v>443400</v>
      </c>
      <c r="E778" s="72"/>
      <c r="F778" s="72">
        <f>SUM(F779:F780)</f>
        <v>13950</v>
      </c>
      <c r="G778" s="72">
        <f>SUM(G779:G781)</f>
        <v>3250</v>
      </c>
      <c r="H778" s="72">
        <f t="shared" si="18"/>
        <v>460600</v>
      </c>
    </row>
    <row r="779" spans="1:8" x14ac:dyDescent="0.2">
      <c r="C779" s="130" t="s">
        <v>485</v>
      </c>
      <c r="D779" s="410">
        <v>245400</v>
      </c>
      <c r="E779" s="410"/>
      <c r="F779" s="410">
        <v>12000</v>
      </c>
      <c r="G779" s="410"/>
      <c r="H779" s="410">
        <f t="shared" si="18"/>
        <v>257400</v>
      </c>
    </row>
    <row r="780" spans="1:8" x14ac:dyDescent="0.2">
      <c r="C780" s="194" t="s">
        <v>263</v>
      </c>
      <c r="D780" s="451">
        <f>130000+30000</f>
        <v>160000</v>
      </c>
      <c r="E780" s="451"/>
      <c r="F780" s="451">
        <f>5200-3250</f>
        <v>1950</v>
      </c>
      <c r="G780" s="451">
        <v>3250</v>
      </c>
      <c r="H780" s="451">
        <f t="shared" si="18"/>
        <v>165200</v>
      </c>
    </row>
    <row r="781" spans="1:8" x14ac:dyDescent="0.2">
      <c r="C781" s="194" t="s">
        <v>264</v>
      </c>
      <c r="D781" s="451">
        <v>38000</v>
      </c>
      <c r="E781" s="451"/>
      <c r="F781" s="451"/>
      <c r="G781" s="451"/>
      <c r="H781" s="451">
        <f t="shared" si="18"/>
        <v>38000</v>
      </c>
    </row>
    <row r="782" spans="1:8" x14ac:dyDescent="0.2">
      <c r="C782" s="96"/>
      <c r="D782" s="72"/>
      <c r="E782" s="72"/>
      <c r="F782" s="72"/>
      <c r="G782" s="72"/>
      <c r="H782" s="72">
        <f t="shared" si="18"/>
        <v>0</v>
      </c>
    </row>
    <row r="783" spans="1:8" x14ac:dyDescent="0.2">
      <c r="A783" s="6" t="s">
        <v>685</v>
      </c>
      <c r="B783" s="6" t="s">
        <v>168</v>
      </c>
      <c r="C783" s="101" t="s">
        <v>265</v>
      </c>
      <c r="D783" s="406">
        <f>SUM(D784:D785)</f>
        <v>122000</v>
      </c>
      <c r="E783" s="406"/>
      <c r="F783" s="406"/>
      <c r="G783" s="406">
        <f>SUM(G784:G785)</f>
        <v>9656</v>
      </c>
      <c r="H783" s="406">
        <f t="shared" si="18"/>
        <v>131656</v>
      </c>
    </row>
    <row r="784" spans="1:8" x14ac:dyDescent="0.2">
      <c r="C784" s="130" t="s">
        <v>486</v>
      </c>
      <c r="D784" s="410">
        <v>119000</v>
      </c>
      <c r="E784" s="410"/>
      <c r="F784" s="410"/>
      <c r="G784" s="410">
        <v>9656</v>
      </c>
      <c r="H784" s="410">
        <f t="shared" si="18"/>
        <v>128656</v>
      </c>
    </row>
    <row r="785" spans="1:8" x14ac:dyDescent="0.2">
      <c r="C785" s="195" t="s">
        <v>266</v>
      </c>
      <c r="D785" s="452">
        <v>3000</v>
      </c>
      <c r="E785" s="452"/>
      <c r="F785" s="452"/>
      <c r="G785" s="452"/>
      <c r="H785" s="452">
        <f t="shared" si="18"/>
        <v>3000</v>
      </c>
    </row>
    <row r="786" spans="1:8" x14ac:dyDescent="0.2">
      <c r="C786" s="108"/>
      <c r="D786" s="408"/>
      <c r="E786" s="408"/>
      <c r="F786" s="408"/>
      <c r="G786" s="408"/>
      <c r="H786" s="408">
        <f t="shared" si="18"/>
        <v>0</v>
      </c>
    </row>
    <row r="787" spans="1:8" ht="38.25" x14ac:dyDescent="0.2">
      <c r="A787" s="6" t="s">
        <v>685</v>
      </c>
      <c r="B787" s="6" t="s">
        <v>168</v>
      </c>
      <c r="C787" s="104" t="s">
        <v>760</v>
      </c>
      <c r="D787" s="417"/>
      <c r="E787" s="417"/>
      <c r="F787" s="417">
        <v>20000</v>
      </c>
      <c r="G787" s="417"/>
      <c r="H787" s="417">
        <f t="shared" si="18"/>
        <v>20000</v>
      </c>
    </row>
    <row r="788" spans="1:8" x14ac:dyDescent="0.2">
      <c r="C788" s="93" t="s">
        <v>187</v>
      </c>
      <c r="D788" s="411"/>
      <c r="E788" s="411"/>
      <c r="F788" s="411">
        <v>11211</v>
      </c>
      <c r="G788" s="411"/>
      <c r="H788" s="411">
        <f t="shared" si="18"/>
        <v>11211</v>
      </c>
    </row>
    <row r="789" spans="1:8" x14ac:dyDescent="0.2">
      <c r="C789" s="153"/>
      <c r="D789" s="437"/>
      <c r="E789" s="437"/>
      <c r="F789" s="437"/>
      <c r="G789" s="437"/>
      <c r="H789" s="437">
        <f t="shared" si="18"/>
        <v>0</v>
      </c>
    </row>
    <row r="790" spans="1:8" x14ac:dyDescent="0.2">
      <c r="C790" s="106" t="s">
        <v>200</v>
      </c>
      <c r="D790" s="415"/>
      <c r="E790" s="415"/>
      <c r="F790" s="415">
        <v>20000</v>
      </c>
      <c r="G790" s="415"/>
      <c r="H790" s="415">
        <f t="shared" si="18"/>
        <v>20000</v>
      </c>
    </row>
    <row r="791" spans="1:8" x14ac:dyDescent="0.2">
      <c r="C791" s="108"/>
      <c r="D791" s="408"/>
      <c r="E791" s="408"/>
      <c r="F791" s="408"/>
      <c r="G791" s="408"/>
      <c r="H791" s="408">
        <f t="shared" si="18"/>
        <v>0</v>
      </c>
    </row>
    <row r="792" spans="1:8" x14ac:dyDescent="0.2">
      <c r="A792" s="6" t="s">
        <v>685</v>
      </c>
      <c r="B792" s="6" t="s">
        <v>168</v>
      </c>
      <c r="C792" s="101" t="s">
        <v>100</v>
      </c>
      <c r="D792" s="406">
        <f>D793+D794+D795</f>
        <v>75000</v>
      </c>
      <c r="E792" s="406"/>
      <c r="F792" s="406"/>
      <c r="G792" s="406"/>
      <c r="H792" s="406">
        <f t="shared" si="18"/>
        <v>75000</v>
      </c>
    </row>
    <row r="793" spans="1:8" x14ac:dyDescent="0.2">
      <c r="C793" s="194" t="s">
        <v>476</v>
      </c>
      <c r="D793" s="451">
        <v>15000</v>
      </c>
      <c r="E793" s="451"/>
      <c r="F793" s="451"/>
      <c r="G793" s="451"/>
      <c r="H793" s="451">
        <f t="shared" si="18"/>
        <v>15000</v>
      </c>
    </row>
    <row r="794" spans="1:8" x14ac:dyDescent="0.2">
      <c r="C794" s="194" t="s">
        <v>477</v>
      </c>
      <c r="D794" s="451">
        <v>50000</v>
      </c>
      <c r="E794" s="451"/>
      <c r="F794" s="451"/>
      <c r="G794" s="451"/>
      <c r="H794" s="451">
        <f t="shared" si="18"/>
        <v>50000</v>
      </c>
    </row>
    <row r="795" spans="1:8" x14ac:dyDescent="0.2">
      <c r="C795" s="141" t="s">
        <v>101</v>
      </c>
      <c r="D795" s="416">
        <v>10000</v>
      </c>
      <c r="E795" s="416"/>
      <c r="F795" s="416"/>
      <c r="G795" s="416"/>
      <c r="H795" s="416">
        <f t="shared" si="18"/>
        <v>10000</v>
      </c>
    </row>
    <row r="796" spans="1:8" x14ac:dyDescent="0.2">
      <c r="C796" s="196"/>
      <c r="D796" s="451"/>
      <c r="E796" s="451"/>
      <c r="F796" s="451"/>
      <c r="G796" s="451"/>
      <c r="H796" s="451">
        <f t="shared" si="18"/>
        <v>0</v>
      </c>
    </row>
    <row r="797" spans="1:8" x14ac:dyDescent="0.2">
      <c r="A797" s="6" t="s">
        <v>685</v>
      </c>
      <c r="B797" s="6" t="s">
        <v>168</v>
      </c>
      <c r="C797" s="101" t="s">
        <v>267</v>
      </c>
      <c r="D797" s="406">
        <v>48400</v>
      </c>
      <c r="E797" s="406"/>
      <c r="F797" s="406"/>
      <c r="G797" s="406">
        <v>-4000</v>
      </c>
      <c r="H797" s="406">
        <f t="shared" si="18"/>
        <v>44400</v>
      </c>
    </row>
    <row r="798" spans="1:8" x14ac:dyDescent="0.2">
      <c r="C798" s="101"/>
      <c r="D798" s="406"/>
      <c r="E798" s="406"/>
      <c r="F798" s="406"/>
      <c r="G798" s="406"/>
      <c r="H798" s="406">
        <f t="shared" si="18"/>
        <v>0</v>
      </c>
    </row>
    <row r="799" spans="1:8" x14ac:dyDescent="0.2">
      <c r="A799" s="6" t="s">
        <v>685</v>
      </c>
      <c r="B799" s="6" t="s">
        <v>168</v>
      </c>
      <c r="C799" s="101" t="s">
        <v>268</v>
      </c>
      <c r="D799" s="406">
        <v>15500</v>
      </c>
      <c r="E799" s="406"/>
      <c r="F799" s="406"/>
      <c r="G799" s="406"/>
      <c r="H799" s="406">
        <f t="shared" si="18"/>
        <v>15500</v>
      </c>
    </row>
    <row r="800" spans="1:8" x14ac:dyDescent="0.2">
      <c r="C800" s="101"/>
      <c r="D800" s="406"/>
      <c r="E800" s="406"/>
      <c r="F800" s="406"/>
      <c r="G800" s="406"/>
      <c r="H800" s="406">
        <f t="shared" si="18"/>
        <v>0</v>
      </c>
    </row>
    <row r="801" spans="1:8" x14ac:dyDescent="0.2">
      <c r="C801" s="92"/>
      <c r="D801" s="388"/>
      <c r="E801" s="388"/>
      <c r="F801" s="388"/>
      <c r="G801" s="388"/>
      <c r="H801" s="388">
        <f t="shared" si="18"/>
        <v>0</v>
      </c>
    </row>
    <row r="802" spans="1:8" ht="15.75" x14ac:dyDescent="0.2">
      <c r="C802" s="118" t="s">
        <v>269</v>
      </c>
      <c r="D802" s="407"/>
      <c r="E802" s="407"/>
      <c r="F802" s="407"/>
      <c r="G802" s="407"/>
      <c r="H802" s="407">
        <f t="shared" si="18"/>
        <v>0</v>
      </c>
    </row>
    <row r="803" spans="1:8" x14ac:dyDescent="0.2">
      <c r="C803" s="108"/>
      <c r="D803" s="408"/>
      <c r="E803" s="408"/>
      <c r="F803" s="408"/>
      <c r="G803" s="408"/>
      <c r="H803" s="408">
        <f t="shared" si="18"/>
        <v>0</v>
      </c>
    </row>
    <row r="804" spans="1:8" x14ac:dyDescent="0.2">
      <c r="C804" s="108" t="s">
        <v>182</v>
      </c>
      <c r="D804" s="408">
        <f>SUM(D811,D825,D832)</f>
        <v>37176213</v>
      </c>
      <c r="E804" s="408"/>
      <c r="F804" s="408"/>
      <c r="G804" s="408">
        <f>SUM(G811,G825,G832)</f>
        <v>500550</v>
      </c>
      <c r="H804" s="408">
        <f t="shared" si="18"/>
        <v>37676763</v>
      </c>
    </row>
    <row r="805" spans="1:8" x14ac:dyDescent="0.2">
      <c r="C805" s="79" t="s">
        <v>201</v>
      </c>
      <c r="D805" s="409">
        <v>37150700</v>
      </c>
      <c r="E805" s="409"/>
      <c r="F805" s="409"/>
      <c r="G805" s="409"/>
      <c r="H805" s="409">
        <f t="shared" si="18"/>
        <v>37150700</v>
      </c>
    </row>
    <row r="806" spans="1:8" x14ac:dyDescent="0.2">
      <c r="C806" s="109" t="s">
        <v>183</v>
      </c>
      <c r="D806" s="386">
        <f>SUM(D807:D809)</f>
        <v>37176213</v>
      </c>
      <c r="E806" s="386"/>
      <c r="F806" s="386"/>
      <c r="G806" s="386">
        <f>SUM(G807:G809)</f>
        <v>500550</v>
      </c>
      <c r="H806" s="386">
        <f t="shared" si="18"/>
        <v>37676763</v>
      </c>
    </row>
    <row r="807" spans="1:8" x14ac:dyDescent="0.2">
      <c r="C807" s="110" t="s">
        <v>184</v>
      </c>
      <c r="D807" s="409">
        <f>'2.2 OMATULUD'!B419</f>
        <v>753684</v>
      </c>
      <c r="E807" s="409"/>
      <c r="F807" s="409"/>
      <c r="G807" s="409"/>
      <c r="H807" s="409">
        <f t="shared" si="18"/>
        <v>753684</v>
      </c>
    </row>
    <row r="808" spans="1:8" x14ac:dyDescent="0.2">
      <c r="C808" s="111" t="s">
        <v>165</v>
      </c>
      <c r="D808" s="409">
        <f>'2.3 TOETUSED'!B49</f>
        <v>14070</v>
      </c>
      <c r="E808" s="409"/>
      <c r="F808" s="409"/>
      <c r="G808" s="409"/>
      <c r="H808" s="409">
        <f t="shared" si="18"/>
        <v>14070</v>
      </c>
    </row>
    <row r="809" spans="1:8" x14ac:dyDescent="0.2">
      <c r="C809" s="111" t="s">
        <v>185</v>
      </c>
      <c r="D809" s="409">
        <f>D804-D807-D808</f>
        <v>36408459</v>
      </c>
      <c r="E809" s="409"/>
      <c r="F809" s="409"/>
      <c r="G809" s="409">
        <f>G804-G807-G808</f>
        <v>500550</v>
      </c>
      <c r="H809" s="409">
        <f t="shared" si="18"/>
        <v>36909009</v>
      </c>
    </row>
    <row r="810" spans="1:8" x14ac:dyDescent="0.2">
      <c r="C810" s="192"/>
      <c r="D810" s="409"/>
      <c r="E810" s="409"/>
      <c r="F810" s="409"/>
      <c r="G810" s="409"/>
      <c r="H810" s="409">
        <f t="shared" si="18"/>
        <v>0</v>
      </c>
    </row>
    <row r="811" spans="1:8" ht="15" x14ac:dyDescent="0.2">
      <c r="A811" s="6" t="s">
        <v>686</v>
      </c>
      <c r="B811" s="6" t="s">
        <v>269</v>
      </c>
      <c r="C811" s="144" t="s">
        <v>635</v>
      </c>
      <c r="D811" s="423">
        <f>SUM(D812,D821)</f>
        <v>27902106</v>
      </c>
      <c r="E811" s="423"/>
      <c r="F811" s="423"/>
      <c r="G811" s="423">
        <f>SUM(G812,G821)</f>
        <v>496317</v>
      </c>
      <c r="H811" s="423">
        <f t="shared" si="18"/>
        <v>28398423</v>
      </c>
    </row>
    <row r="812" spans="1:8" x14ac:dyDescent="0.2">
      <c r="C812" s="112" t="s">
        <v>636</v>
      </c>
      <c r="D812" s="283">
        <f>SUM(D815,D818)</f>
        <v>20844106</v>
      </c>
      <c r="E812" s="283"/>
      <c r="F812" s="283"/>
      <c r="G812" s="283">
        <f>SUM(G815,G818)</f>
        <v>396317</v>
      </c>
      <c r="H812" s="283">
        <f t="shared" si="18"/>
        <v>21240423</v>
      </c>
    </row>
    <row r="813" spans="1:8" x14ac:dyDescent="0.2">
      <c r="C813" s="98" t="s">
        <v>187</v>
      </c>
      <c r="D813" s="411">
        <f>SUM(D819)</f>
        <v>79600</v>
      </c>
      <c r="E813" s="411"/>
      <c r="F813" s="411"/>
      <c r="G813" s="411">
        <f>SUM(G819)</f>
        <v>0</v>
      </c>
      <c r="H813" s="411">
        <f t="shared" si="18"/>
        <v>79600</v>
      </c>
    </row>
    <row r="814" spans="1:8" x14ac:dyDescent="0.2">
      <c r="C814" s="115" t="s">
        <v>194</v>
      </c>
      <c r="D814" s="283"/>
      <c r="E814" s="283"/>
      <c r="F814" s="283"/>
      <c r="G814" s="283"/>
      <c r="H814" s="283">
        <f t="shared" si="18"/>
        <v>0</v>
      </c>
    </row>
    <row r="815" spans="1:8" x14ac:dyDescent="0.2">
      <c r="C815" s="116" t="s">
        <v>271</v>
      </c>
      <c r="D815" s="419">
        <v>8100000</v>
      </c>
      <c r="E815" s="419"/>
      <c r="F815" s="419"/>
      <c r="G815" s="419">
        <v>191317</v>
      </c>
      <c r="H815" s="419">
        <f t="shared" si="18"/>
        <v>8291317</v>
      </c>
    </row>
    <row r="816" spans="1:8" x14ac:dyDescent="0.2">
      <c r="C816" s="121"/>
      <c r="D816" s="419"/>
      <c r="E816" s="419"/>
      <c r="F816" s="419"/>
      <c r="G816" s="419"/>
      <c r="H816" s="419">
        <f t="shared" si="18"/>
        <v>0</v>
      </c>
    </row>
    <row r="817" spans="1:8" x14ac:dyDescent="0.2">
      <c r="C817" s="115" t="s">
        <v>194</v>
      </c>
      <c r="D817" s="283"/>
      <c r="E817" s="283"/>
      <c r="F817" s="283"/>
      <c r="G817" s="283"/>
      <c r="H817" s="283">
        <f t="shared" ref="H817:H876" si="19">SUM(D817:G817)</f>
        <v>0</v>
      </c>
    </row>
    <row r="818" spans="1:8" x14ac:dyDescent="0.2">
      <c r="C818" s="116" t="s">
        <v>272</v>
      </c>
      <c r="D818" s="419">
        <v>12744106</v>
      </c>
      <c r="E818" s="419"/>
      <c r="F818" s="419"/>
      <c r="G818" s="419">
        <v>205000</v>
      </c>
      <c r="H818" s="419">
        <f t="shared" si="19"/>
        <v>12949106</v>
      </c>
    </row>
    <row r="819" spans="1:8" x14ac:dyDescent="0.2">
      <c r="C819" s="103" t="s">
        <v>187</v>
      </c>
      <c r="D819" s="411">
        <v>79600</v>
      </c>
      <c r="E819" s="411"/>
      <c r="F819" s="411"/>
      <c r="G819" s="411"/>
      <c r="H819" s="411">
        <f t="shared" si="19"/>
        <v>79600</v>
      </c>
    </row>
    <row r="820" spans="1:8" x14ac:dyDescent="0.2">
      <c r="C820" s="152"/>
      <c r="D820" s="426"/>
      <c r="E820" s="426"/>
      <c r="F820" s="426"/>
      <c r="G820" s="426"/>
      <c r="H820" s="426">
        <f t="shared" si="19"/>
        <v>0</v>
      </c>
    </row>
    <row r="821" spans="1:8" x14ac:dyDescent="0.2">
      <c r="C821" s="112" t="s">
        <v>505</v>
      </c>
      <c r="D821" s="283">
        <f>6858000+200000</f>
        <v>7058000</v>
      </c>
      <c r="E821" s="283"/>
      <c r="F821" s="283"/>
      <c r="G821" s="283">
        <v>100000</v>
      </c>
      <c r="H821" s="283">
        <f t="shared" si="19"/>
        <v>7158000</v>
      </c>
    </row>
    <row r="822" spans="1:8" x14ac:dyDescent="0.2">
      <c r="C822" s="164"/>
      <c r="D822" s="419"/>
      <c r="E822" s="419"/>
      <c r="F822" s="419"/>
      <c r="G822" s="419"/>
      <c r="H822" s="419">
        <f t="shared" si="19"/>
        <v>0</v>
      </c>
    </row>
    <row r="823" spans="1:8" ht="22.5" x14ac:dyDescent="0.2">
      <c r="C823" s="152" t="s">
        <v>637</v>
      </c>
      <c r="D823" s="426"/>
      <c r="E823" s="426"/>
      <c r="F823" s="426"/>
      <c r="G823" s="426"/>
      <c r="H823" s="426">
        <f t="shared" si="19"/>
        <v>0</v>
      </c>
    </row>
    <row r="824" spans="1:8" x14ac:dyDescent="0.2">
      <c r="C824" s="152"/>
      <c r="D824" s="426"/>
      <c r="E824" s="426"/>
      <c r="F824" s="426"/>
      <c r="G824" s="426"/>
      <c r="H824" s="426">
        <f t="shared" si="19"/>
        <v>0</v>
      </c>
    </row>
    <row r="825" spans="1:8" ht="15" x14ac:dyDescent="0.2">
      <c r="A825" s="6" t="s">
        <v>687</v>
      </c>
      <c r="B825" s="6" t="s">
        <v>269</v>
      </c>
      <c r="C825" s="144" t="s">
        <v>277</v>
      </c>
      <c r="D825" s="423">
        <f>SUM(D826)</f>
        <v>930000</v>
      </c>
      <c r="E825" s="423"/>
      <c r="F825" s="423"/>
      <c r="G825" s="423"/>
      <c r="H825" s="423">
        <f t="shared" si="19"/>
        <v>930000</v>
      </c>
    </row>
    <row r="826" spans="1:8" x14ac:dyDescent="0.2">
      <c r="C826" s="112" t="s">
        <v>278</v>
      </c>
      <c r="D826" s="283">
        <f>D829</f>
        <v>930000</v>
      </c>
      <c r="E826" s="283"/>
      <c r="F826" s="283"/>
      <c r="G826" s="283"/>
      <c r="H826" s="283">
        <f t="shared" si="19"/>
        <v>930000</v>
      </c>
    </row>
    <row r="827" spans="1:8" x14ac:dyDescent="0.2">
      <c r="C827" s="98" t="s">
        <v>187</v>
      </c>
      <c r="D827" s="411">
        <f>D830</f>
        <v>351201</v>
      </c>
      <c r="E827" s="411"/>
      <c r="F827" s="411"/>
      <c r="G827" s="411"/>
      <c r="H827" s="411">
        <f t="shared" si="19"/>
        <v>351201</v>
      </c>
    </row>
    <row r="828" spans="1:8" x14ac:dyDescent="0.2">
      <c r="C828" s="115" t="s">
        <v>194</v>
      </c>
      <c r="D828" s="283"/>
      <c r="E828" s="283"/>
      <c r="F828" s="283"/>
      <c r="G828" s="283"/>
      <c r="H828" s="283">
        <f t="shared" si="19"/>
        <v>0</v>
      </c>
    </row>
    <row r="829" spans="1:8" x14ac:dyDescent="0.2">
      <c r="C829" s="116" t="s">
        <v>531</v>
      </c>
      <c r="D829" s="419">
        <v>930000</v>
      </c>
      <c r="E829" s="419"/>
      <c r="F829" s="419"/>
      <c r="G829" s="419"/>
      <c r="H829" s="419">
        <f t="shared" si="19"/>
        <v>930000</v>
      </c>
    </row>
    <row r="830" spans="1:8" x14ac:dyDescent="0.2">
      <c r="C830" s="103" t="s">
        <v>187</v>
      </c>
      <c r="D830" s="411">
        <v>351201</v>
      </c>
      <c r="E830" s="411"/>
      <c r="F830" s="411"/>
      <c r="G830" s="411"/>
      <c r="H830" s="411">
        <f t="shared" si="19"/>
        <v>351201</v>
      </c>
    </row>
    <row r="831" spans="1:8" x14ac:dyDescent="0.2">
      <c r="C831" s="141"/>
      <c r="D831" s="416"/>
      <c r="E831" s="416"/>
      <c r="F831" s="416"/>
      <c r="G831" s="416"/>
      <c r="H831" s="416">
        <f t="shared" si="19"/>
        <v>0</v>
      </c>
    </row>
    <row r="832" spans="1:8" x14ac:dyDescent="0.2">
      <c r="C832" s="108" t="s">
        <v>186</v>
      </c>
      <c r="D832" s="408">
        <f>SUM(D834,D837,D845,D847,D849,D851,D853,D858,D862,D863,D867,D872)</f>
        <v>8344107</v>
      </c>
      <c r="E832" s="408"/>
      <c r="F832" s="408"/>
      <c r="G832" s="408">
        <f>SUM(G834,G837,G845,G847,G849,G851,G853,G858,G862,G863,G867,G872)</f>
        <v>4233</v>
      </c>
      <c r="H832" s="408">
        <f t="shared" si="19"/>
        <v>8348340</v>
      </c>
    </row>
    <row r="833" spans="1:8" x14ac:dyDescent="0.2">
      <c r="C833" s="108"/>
      <c r="D833" s="408"/>
      <c r="E833" s="408"/>
      <c r="F833" s="408"/>
      <c r="G833" s="408"/>
      <c r="H833" s="408">
        <f t="shared" si="19"/>
        <v>0</v>
      </c>
    </row>
    <row r="834" spans="1:8" x14ac:dyDescent="0.2">
      <c r="A834" s="6" t="s">
        <v>688</v>
      </c>
      <c r="B834" s="6" t="s">
        <v>269</v>
      </c>
      <c r="C834" s="92" t="s">
        <v>273</v>
      </c>
      <c r="D834" s="388">
        <f>1396174-86</f>
        <v>1396088</v>
      </c>
      <c r="E834" s="388"/>
      <c r="F834" s="388"/>
      <c r="G834" s="388">
        <v>-9450</v>
      </c>
      <c r="H834" s="388">
        <f t="shared" si="19"/>
        <v>1386638</v>
      </c>
    </row>
    <row r="835" spans="1:8" x14ac:dyDescent="0.2">
      <c r="C835" s="93" t="s">
        <v>187</v>
      </c>
      <c r="D835" s="411">
        <f>906665-65</f>
        <v>906600</v>
      </c>
      <c r="E835" s="411"/>
      <c r="F835" s="411">
        <v>12300</v>
      </c>
      <c r="G835" s="411">
        <v>-7063</v>
      </c>
      <c r="H835" s="411">
        <f t="shared" si="19"/>
        <v>911837</v>
      </c>
    </row>
    <row r="836" spans="1:8" x14ac:dyDescent="0.2">
      <c r="C836" s="108"/>
      <c r="D836" s="408"/>
      <c r="E836" s="408"/>
      <c r="F836" s="408"/>
      <c r="G836" s="408"/>
      <c r="H836" s="408">
        <f t="shared" si="19"/>
        <v>0</v>
      </c>
    </row>
    <row r="837" spans="1:8" x14ac:dyDescent="0.2">
      <c r="A837" s="6" t="s">
        <v>689</v>
      </c>
      <c r="B837" s="6" t="s">
        <v>269</v>
      </c>
      <c r="C837" s="104" t="s">
        <v>479</v>
      </c>
      <c r="D837" s="417">
        <f>SUM(D838:D841)</f>
        <v>5125565</v>
      </c>
      <c r="E837" s="417"/>
      <c r="F837" s="417"/>
      <c r="G837" s="417">
        <f>SUM(G838:G841)</f>
        <v>18683</v>
      </c>
      <c r="H837" s="417">
        <f t="shared" si="19"/>
        <v>5144248</v>
      </c>
    </row>
    <row r="838" spans="1:8" x14ac:dyDescent="0.2">
      <c r="C838" s="130" t="s">
        <v>487</v>
      </c>
      <c r="D838" s="410">
        <f>4294973+305027</f>
        <v>4600000</v>
      </c>
      <c r="E838" s="410"/>
      <c r="F838" s="410"/>
      <c r="G838" s="410">
        <v>-1000</v>
      </c>
      <c r="H838" s="410">
        <f t="shared" si="19"/>
        <v>4599000</v>
      </c>
    </row>
    <row r="839" spans="1:8" ht="22.5" x14ac:dyDescent="0.2">
      <c r="C839" s="194" t="s">
        <v>103</v>
      </c>
      <c r="D839" s="451">
        <v>390000</v>
      </c>
      <c r="E839" s="451"/>
      <c r="F839" s="451"/>
      <c r="G839" s="451">
        <f>17000+1000</f>
        <v>18000</v>
      </c>
      <c r="H839" s="451">
        <f t="shared" si="19"/>
        <v>408000</v>
      </c>
    </row>
    <row r="840" spans="1:8" ht="22.5" x14ac:dyDescent="0.2">
      <c r="C840" s="138" t="s">
        <v>104</v>
      </c>
      <c r="D840" s="426">
        <v>25565</v>
      </c>
      <c r="E840" s="426"/>
      <c r="F840" s="426"/>
      <c r="G840" s="426"/>
      <c r="H840" s="426">
        <f t="shared" si="19"/>
        <v>25565</v>
      </c>
    </row>
    <row r="841" spans="1:8" ht="22.5" x14ac:dyDescent="0.2">
      <c r="C841" s="194" t="s">
        <v>419</v>
      </c>
      <c r="D841" s="451">
        <v>110000</v>
      </c>
      <c r="E841" s="451"/>
      <c r="F841" s="451"/>
      <c r="G841" s="451">
        <v>1683</v>
      </c>
      <c r="H841" s="451">
        <f t="shared" si="19"/>
        <v>111683</v>
      </c>
    </row>
    <row r="842" spans="1:8" x14ac:dyDescent="0.2">
      <c r="C842" s="194"/>
      <c r="D842" s="451"/>
      <c r="E842" s="451"/>
      <c r="F842" s="451"/>
      <c r="G842" s="451"/>
      <c r="H842" s="451">
        <f t="shared" si="19"/>
        <v>0</v>
      </c>
    </row>
    <row r="843" spans="1:8" ht="22.5" x14ac:dyDescent="0.2">
      <c r="C843" s="152" t="s">
        <v>480</v>
      </c>
      <c r="D843" s="426"/>
      <c r="E843" s="426"/>
      <c r="F843" s="426"/>
      <c r="G843" s="426"/>
      <c r="H843" s="426">
        <f t="shared" si="19"/>
        <v>0</v>
      </c>
    </row>
    <row r="844" spans="1:8" x14ac:dyDescent="0.2">
      <c r="C844" s="152"/>
      <c r="D844" s="426"/>
      <c r="E844" s="426"/>
      <c r="F844" s="426"/>
      <c r="G844" s="426"/>
      <c r="H844" s="426">
        <f t="shared" si="19"/>
        <v>0</v>
      </c>
    </row>
    <row r="845" spans="1:8" ht="25.5" x14ac:dyDescent="0.2">
      <c r="A845" s="6" t="s">
        <v>677</v>
      </c>
      <c r="B845" s="6" t="s">
        <v>269</v>
      </c>
      <c r="C845" s="104" t="s">
        <v>481</v>
      </c>
      <c r="D845" s="417">
        <v>158820</v>
      </c>
      <c r="E845" s="417"/>
      <c r="F845" s="417"/>
      <c r="G845" s="417"/>
      <c r="H845" s="417">
        <f t="shared" si="19"/>
        <v>158820</v>
      </c>
    </row>
    <row r="846" spans="1:8" x14ac:dyDescent="0.2">
      <c r="C846" s="148"/>
      <c r="D846" s="409"/>
      <c r="E846" s="409"/>
      <c r="F846" s="409"/>
      <c r="G846" s="409"/>
      <c r="H846" s="409">
        <f t="shared" si="19"/>
        <v>0</v>
      </c>
    </row>
    <row r="847" spans="1:8" x14ac:dyDescent="0.2">
      <c r="A847" s="6" t="s">
        <v>677</v>
      </c>
      <c r="B847" s="6" t="s">
        <v>269</v>
      </c>
      <c r="C847" s="104" t="s">
        <v>274</v>
      </c>
      <c r="D847" s="417">
        <v>199789</v>
      </c>
      <c r="E847" s="417"/>
      <c r="F847" s="417"/>
      <c r="G847" s="417">
        <v>-1500</v>
      </c>
      <c r="H847" s="417">
        <f t="shared" si="19"/>
        <v>198289</v>
      </c>
    </row>
    <row r="848" spans="1:8" x14ac:dyDescent="0.2">
      <c r="C848" s="101"/>
      <c r="D848" s="406"/>
      <c r="E848" s="406"/>
      <c r="F848" s="406"/>
      <c r="G848" s="406"/>
      <c r="H848" s="406">
        <f t="shared" si="19"/>
        <v>0</v>
      </c>
    </row>
    <row r="849" spans="1:8" x14ac:dyDescent="0.2">
      <c r="A849" s="6" t="s">
        <v>686</v>
      </c>
      <c r="B849" s="6" t="s">
        <v>269</v>
      </c>
      <c r="C849" s="92" t="s">
        <v>102</v>
      </c>
      <c r="D849" s="388">
        <v>66465</v>
      </c>
      <c r="E849" s="388"/>
      <c r="F849" s="388"/>
      <c r="G849" s="388">
        <v>116</v>
      </c>
      <c r="H849" s="388">
        <f t="shared" si="19"/>
        <v>66581</v>
      </c>
    </row>
    <row r="850" spans="1:8" x14ac:dyDescent="0.2">
      <c r="C850" s="101"/>
      <c r="D850" s="406"/>
      <c r="E850" s="406"/>
      <c r="F850" s="406"/>
      <c r="G850" s="406"/>
      <c r="H850" s="406">
        <f t="shared" si="19"/>
        <v>0</v>
      </c>
    </row>
    <row r="851" spans="1:8" x14ac:dyDescent="0.2">
      <c r="A851" s="6" t="s">
        <v>686</v>
      </c>
      <c r="B851" s="6" t="s">
        <v>269</v>
      </c>
      <c r="C851" s="104" t="s">
        <v>275</v>
      </c>
      <c r="D851" s="417">
        <v>76000</v>
      </c>
      <c r="E851" s="417"/>
      <c r="F851" s="417"/>
      <c r="G851" s="417">
        <v>7000</v>
      </c>
      <c r="H851" s="417">
        <f t="shared" si="19"/>
        <v>83000</v>
      </c>
    </row>
    <row r="852" spans="1:8" x14ac:dyDescent="0.2">
      <c r="C852" s="104"/>
      <c r="D852" s="417"/>
      <c r="E852" s="417"/>
      <c r="F852" s="417"/>
      <c r="G852" s="417"/>
      <c r="H852" s="417">
        <f t="shared" si="19"/>
        <v>0</v>
      </c>
    </row>
    <row r="853" spans="1:8" x14ac:dyDescent="0.2">
      <c r="A853" s="6" t="s">
        <v>687</v>
      </c>
      <c r="B853" s="6" t="s">
        <v>269</v>
      </c>
      <c r="C853" s="104" t="s">
        <v>285</v>
      </c>
      <c r="D853" s="417">
        <v>320000</v>
      </c>
      <c r="E853" s="417"/>
      <c r="F853" s="417"/>
      <c r="G853" s="417">
        <v>-10616</v>
      </c>
      <c r="H853" s="417">
        <f t="shared" si="19"/>
        <v>309384</v>
      </c>
    </row>
    <row r="854" spans="1:8" x14ac:dyDescent="0.2">
      <c r="C854" s="130" t="s">
        <v>868</v>
      </c>
      <c r="D854" s="410">
        <v>50000</v>
      </c>
      <c r="E854" s="410"/>
      <c r="F854" s="410"/>
      <c r="G854" s="410"/>
      <c r="H854" s="410">
        <f t="shared" si="19"/>
        <v>50000</v>
      </c>
    </row>
    <row r="855" spans="1:8" x14ac:dyDescent="0.2">
      <c r="C855" s="195" t="s">
        <v>105</v>
      </c>
      <c r="D855" s="452">
        <v>22000</v>
      </c>
      <c r="E855" s="452"/>
      <c r="F855" s="452"/>
      <c r="G855" s="452"/>
      <c r="H855" s="452">
        <f t="shared" si="19"/>
        <v>22000</v>
      </c>
    </row>
    <row r="856" spans="1:8" x14ac:dyDescent="0.2">
      <c r="C856" s="195" t="s">
        <v>869</v>
      </c>
      <c r="D856" s="452">
        <v>171324</v>
      </c>
      <c r="E856" s="452"/>
      <c r="F856" s="452"/>
      <c r="G856" s="452"/>
      <c r="H856" s="452">
        <f t="shared" si="19"/>
        <v>171324</v>
      </c>
    </row>
    <row r="857" spans="1:8" x14ac:dyDescent="0.2">
      <c r="C857" s="104"/>
      <c r="D857" s="417"/>
      <c r="E857" s="417"/>
      <c r="F857" s="417"/>
      <c r="G857" s="417"/>
      <c r="H857" s="417">
        <f t="shared" si="19"/>
        <v>0</v>
      </c>
    </row>
    <row r="858" spans="1:8" x14ac:dyDescent="0.2">
      <c r="A858" s="6" t="s">
        <v>687</v>
      </c>
      <c r="B858" s="6" t="s">
        <v>269</v>
      </c>
      <c r="C858" s="104" t="s">
        <v>558</v>
      </c>
      <c r="D858" s="417">
        <v>185600</v>
      </c>
      <c r="E858" s="417"/>
      <c r="F858" s="417"/>
      <c r="G858" s="417"/>
      <c r="H858" s="417">
        <f t="shared" si="19"/>
        <v>185600</v>
      </c>
    </row>
    <row r="859" spans="1:8" x14ac:dyDescent="0.2">
      <c r="C859" s="93" t="s">
        <v>187</v>
      </c>
      <c r="D859" s="411">
        <v>67003</v>
      </c>
      <c r="E859" s="411"/>
      <c r="F859" s="411"/>
      <c r="G859" s="411"/>
      <c r="H859" s="411">
        <f t="shared" si="19"/>
        <v>67003</v>
      </c>
    </row>
    <row r="860" spans="1:8" x14ac:dyDescent="0.2">
      <c r="C860" s="155"/>
      <c r="D860" s="410"/>
      <c r="E860" s="410"/>
      <c r="F860" s="410"/>
      <c r="G860" s="410"/>
      <c r="H860" s="410">
        <f t="shared" si="19"/>
        <v>0</v>
      </c>
    </row>
    <row r="861" spans="1:8" x14ac:dyDescent="0.2">
      <c r="C861" s="104" t="s">
        <v>768</v>
      </c>
      <c r="D861" s="417">
        <f>D862+D863</f>
        <v>790000</v>
      </c>
      <c r="E861" s="417"/>
      <c r="F861" s="417"/>
      <c r="G861" s="417"/>
      <c r="H861" s="417">
        <f t="shared" si="19"/>
        <v>790000</v>
      </c>
    </row>
    <row r="862" spans="1:8" s="281" customFormat="1" ht="11.25" x14ac:dyDescent="0.2">
      <c r="A862" s="281" t="s">
        <v>687</v>
      </c>
      <c r="B862" s="281" t="s">
        <v>269</v>
      </c>
      <c r="C862" s="141" t="s">
        <v>769</v>
      </c>
      <c r="D862" s="416">
        <v>395000</v>
      </c>
      <c r="E862" s="416"/>
      <c r="F862" s="416"/>
      <c r="G862" s="416"/>
      <c r="H862" s="416">
        <f t="shared" si="19"/>
        <v>395000</v>
      </c>
    </row>
    <row r="863" spans="1:8" s="281" customFormat="1" ht="11.25" x14ac:dyDescent="0.2">
      <c r="A863" s="281" t="s">
        <v>687</v>
      </c>
      <c r="B863" s="281" t="s">
        <v>269</v>
      </c>
      <c r="C863" s="141" t="s">
        <v>770</v>
      </c>
      <c r="D863" s="416">
        <v>395000</v>
      </c>
      <c r="E863" s="416"/>
      <c r="F863" s="416"/>
      <c r="G863" s="416"/>
      <c r="H863" s="416">
        <f t="shared" si="19"/>
        <v>395000</v>
      </c>
    </row>
    <row r="864" spans="1:8" x14ac:dyDescent="0.2">
      <c r="C864" s="141"/>
      <c r="D864" s="416"/>
      <c r="E864" s="416"/>
      <c r="F864" s="416"/>
      <c r="G864" s="416"/>
      <c r="H864" s="416">
        <f t="shared" si="19"/>
        <v>0</v>
      </c>
    </row>
    <row r="865" spans="1:8" ht="22.5" x14ac:dyDescent="0.2">
      <c r="C865" s="152" t="s">
        <v>771</v>
      </c>
      <c r="D865" s="426"/>
      <c r="E865" s="426"/>
      <c r="F865" s="426"/>
      <c r="G865" s="426"/>
      <c r="H865" s="426">
        <f t="shared" si="19"/>
        <v>0</v>
      </c>
    </row>
    <row r="866" spans="1:8" x14ac:dyDescent="0.2">
      <c r="C866" s="104"/>
      <c r="D866" s="417"/>
      <c r="E866" s="417"/>
      <c r="F866" s="417"/>
      <c r="G866" s="417"/>
      <c r="H866" s="417">
        <f t="shared" si="19"/>
        <v>0</v>
      </c>
    </row>
    <row r="867" spans="1:8" ht="38.25" x14ac:dyDescent="0.2">
      <c r="A867" s="6" t="s">
        <v>688</v>
      </c>
      <c r="B867" s="6" t="s">
        <v>269</v>
      </c>
      <c r="C867" s="104" t="s">
        <v>482</v>
      </c>
      <c r="D867" s="417">
        <v>15780</v>
      </c>
      <c r="E867" s="417"/>
      <c r="F867" s="417"/>
      <c r="G867" s="417"/>
      <c r="H867" s="417">
        <f t="shared" si="19"/>
        <v>15780</v>
      </c>
    </row>
    <row r="868" spans="1:8" x14ac:dyDescent="0.2">
      <c r="C868" s="93" t="s">
        <v>187</v>
      </c>
      <c r="D868" s="411">
        <v>5880</v>
      </c>
      <c r="E868" s="411"/>
      <c r="F868" s="411"/>
      <c r="G868" s="411"/>
      <c r="H868" s="411">
        <f t="shared" si="19"/>
        <v>5880</v>
      </c>
    </row>
    <row r="869" spans="1:8" x14ac:dyDescent="0.2">
      <c r="C869" s="104"/>
      <c r="D869" s="417"/>
      <c r="E869" s="417"/>
      <c r="F869" s="417"/>
      <c r="G869" s="417"/>
      <c r="H869" s="417">
        <f t="shared" si="19"/>
        <v>0</v>
      </c>
    </row>
    <row r="870" spans="1:8" x14ac:dyDescent="0.2">
      <c r="C870" s="106" t="s">
        <v>200</v>
      </c>
      <c r="D870" s="415">
        <v>14070</v>
      </c>
      <c r="E870" s="415"/>
      <c r="F870" s="415"/>
      <c r="G870" s="415"/>
      <c r="H870" s="415">
        <f t="shared" si="19"/>
        <v>14070</v>
      </c>
    </row>
    <row r="871" spans="1:8" x14ac:dyDescent="0.2">
      <c r="C871" s="106"/>
      <c r="D871" s="415"/>
      <c r="E871" s="415"/>
      <c r="F871" s="415"/>
      <c r="G871" s="415"/>
      <c r="H871" s="415">
        <f t="shared" si="19"/>
        <v>0</v>
      </c>
    </row>
    <row r="872" spans="1:8" x14ac:dyDescent="0.2">
      <c r="A872" s="6" t="s">
        <v>688</v>
      </c>
      <c r="B872" s="6" t="s">
        <v>269</v>
      </c>
      <c r="C872" s="101" t="s">
        <v>608</v>
      </c>
      <c r="D872" s="406">
        <v>10000</v>
      </c>
      <c r="E872" s="406"/>
      <c r="F872" s="406"/>
      <c r="G872" s="406"/>
      <c r="H872" s="406">
        <f t="shared" si="19"/>
        <v>10000</v>
      </c>
    </row>
    <row r="873" spans="1:8" x14ac:dyDescent="0.2">
      <c r="C873" s="101"/>
      <c r="D873" s="406"/>
      <c r="E873" s="406"/>
      <c r="F873" s="406"/>
      <c r="G873" s="406"/>
      <c r="H873" s="406">
        <f t="shared" si="19"/>
        <v>0</v>
      </c>
    </row>
    <row r="874" spans="1:8" x14ac:dyDescent="0.2">
      <c r="C874" s="196"/>
      <c r="D874" s="451"/>
      <c r="E874" s="451"/>
      <c r="F874" s="451"/>
      <c r="G874" s="451"/>
      <c r="H874" s="451">
        <f t="shared" si="19"/>
        <v>0</v>
      </c>
    </row>
    <row r="875" spans="1:8" ht="15.75" x14ac:dyDescent="0.2">
      <c r="C875" s="118" t="s">
        <v>276</v>
      </c>
      <c r="D875" s="407"/>
      <c r="E875" s="407"/>
      <c r="F875" s="407"/>
      <c r="G875" s="407"/>
      <c r="H875" s="407">
        <f t="shared" si="19"/>
        <v>0</v>
      </c>
    </row>
    <row r="876" spans="1:8" x14ac:dyDescent="0.2">
      <c r="C876" s="108"/>
      <c r="D876" s="408"/>
      <c r="E876" s="408"/>
      <c r="F876" s="408"/>
      <c r="G876" s="408"/>
      <c r="H876" s="408">
        <f t="shared" si="19"/>
        <v>0</v>
      </c>
    </row>
    <row r="877" spans="1:8" x14ac:dyDescent="0.2">
      <c r="C877" s="108" t="s">
        <v>182</v>
      </c>
      <c r="D877" s="408">
        <f>SUM(D884,D909,D912,D916)</f>
        <v>6030165</v>
      </c>
      <c r="E877" s="408"/>
      <c r="F877" s="408">
        <f t="shared" ref="F877" si="20">SUM(F884,F909,F912,F916)</f>
        <v>50182</v>
      </c>
      <c r="G877" s="408">
        <f>SUM(G884,G909,G912,G916)</f>
        <v>550422</v>
      </c>
      <c r="H877" s="408">
        <f t="shared" ref="H877:H940" si="21">SUM(D877:G877)</f>
        <v>6630769</v>
      </c>
    </row>
    <row r="878" spans="1:8" x14ac:dyDescent="0.2">
      <c r="C878" s="79" t="s">
        <v>201</v>
      </c>
      <c r="D878" s="409">
        <v>1150000</v>
      </c>
      <c r="E878" s="409"/>
      <c r="F878" s="409"/>
      <c r="G878" s="409"/>
      <c r="H878" s="409">
        <f t="shared" si="21"/>
        <v>1150000</v>
      </c>
    </row>
    <row r="879" spans="1:8" x14ac:dyDescent="0.2">
      <c r="C879" s="109" t="s">
        <v>183</v>
      </c>
      <c r="D879" s="386">
        <f>SUM(D880:D882)</f>
        <v>6030165</v>
      </c>
      <c r="E879" s="386"/>
      <c r="F879" s="386">
        <f t="shared" ref="F879" si="22">SUM(F880:F882)</f>
        <v>50182</v>
      </c>
      <c r="G879" s="386">
        <f>SUM(G880:G882)</f>
        <v>550422</v>
      </c>
      <c r="H879" s="386">
        <f t="shared" si="21"/>
        <v>6630769</v>
      </c>
    </row>
    <row r="880" spans="1:8" x14ac:dyDescent="0.2">
      <c r="C880" s="110" t="s">
        <v>184</v>
      </c>
      <c r="D880" s="409">
        <f>'2.2 OMATULUD'!B439</f>
        <v>2083238</v>
      </c>
      <c r="E880" s="409"/>
      <c r="F880" s="409">
        <v>4000</v>
      </c>
      <c r="G880" s="409">
        <v>470700</v>
      </c>
      <c r="H880" s="409">
        <f t="shared" si="21"/>
        <v>2557938</v>
      </c>
    </row>
    <row r="881" spans="1:8" x14ac:dyDescent="0.2">
      <c r="C881" s="111" t="s">
        <v>165</v>
      </c>
      <c r="D881" s="409">
        <f>'2.3 TOETUSED'!B52</f>
        <v>31055</v>
      </c>
      <c r="E881" s="409"/>
      <c r="F881" s="409">
        <f>SUM(F949)</f>
        <v>23775</v>
      </c>
      <c r="G881" s="409"/>
      <c r="H881" s="409">
        <f t="shared" si="21"/>
        <v>54830</v>
      </c>
    </row>
    <row r="882" spans="1:8" x14ac:dyDescent="0.2">
      <c r="C882" s="111" t="s">
        <v>185</v>
      </c>
      <c r="D882" s="409">
        <f>D877-D880-D881</f>
        <v>3915872</v>
      </c>
      <c r="E882" s="409"/>
      <c r="F882" s="409">
        <f t="shared" ref="F882" si="23">F877-F880-F881</f>
        <v>22407</v>
      </c>
      <c r="G882" s="409">
        <f>G877-G880-G881</f>
        <v>79722</v>
      </c>
      <c r="H882" s="409">
        <f t="shared" si="21"/>
        <v>4018001</v>
      </c>
    </row>
    <row r="883" spans="1:8" x14ac:dyDescent="0.2">
      <c r="C883" s="192"/>
      <c r="D883" s="409"/>
      <c r="E883" s="409"/>
      <c r="F883" s="409"/>
      <c r="G883" s="409"/>
      <c r="H883" s="409">
        <f t="shared" si="21"/>
        <v>0</v>
      </c>
    </row>
    <row r="884" spans="1:8" ht="15" x14ac:dyDescent="0.2">
      <c r="A884" s="6" t="s">
        <v>687</v>
      </c>
      <c r="B884" s="6" t="s">
        <v>276</v>
      </c>
      <c r="C884" s="197" t="s">
        <v>277</v>
      </c>
      <c r="D884" s="387">
        <f>SUM(D885,D892,D898,D900)</f>
        <v>2931050</v>
      </c>
      <c r="E884" s="387"/>
      <c r="F884" s="387">
        <f t="shared" ref="F884" si="24">SUM(F885,F892,F898,F900)</f>
        <v>28000</v>
      </c>
      <c r="G884" s="387">
        <f>SUM(G885,G892,G898,G900)</f>
        <v>584800</v>
      </c>
      <c r="H884" s="387">
        <f t="shared" si="21"/>
        <v>3543850</v>
      </c>
    </row>
    <row r="885" spans="1:8" x14ac:dyDescent="0.2">
      <c r="C885" s="112" t="s">
        <v>278</v>
      </c>
      <c r="D885" s="283">
        <f>SUM(D887,D890)</f>
        <v>150000</v>
      </c>
      <c r="E885" s="283"/>
      <c r="F885" s="283">
        <f t="shared" ref="F885" si="25">SUM(F887,F890)</f>
        <v>0</v>
      </c>
      <c r="G885" s="283">
        <f>SUM(G887,G890)</f>
        <v>0</v>
      </c>
      <c r="H885" s="283">
        <f t="shared" si="21"/>
        <v>150000</v>
      </c>
    </row>
    <row r="886" spans="1:8" x14ac:dyDescent="0.2">
      <c r="C886" s="115" t="s">
        <v>194</v>
      </c>
      <c r="D886" s="283"/>
      <c r="E886" s="283"/>
      <c r="F886" s="283"/>
      <c r="G886" s="283"/>
      <c r="H886" s="283">
        <f t="shared" si="21"/>
        <v>0</v>
      </c>
    </row>
    <row r="887" spans="1:8" x14ac:dyDescent="0.2">
      <c r="C887" s="116" t="s">
        <v>478</v>
      </c>
      <c r="D887" s="419">
        <v>100000</v>
      </c>
      <c r="E887" s="419"/>
      <c r="F887" s="419"/>
      <c r="G887" s="419"/>
      <c r="H887" s="419">
        <f t="shared" si="21"/>
        <v>100000</v>
      </c>
    </row>
    <row r="888" spans="1:8" x14ac:dyDescent="0.2">
      <c r="C888" s="165"/>
      <c r="D888" s="445"/>
      <c r="E888" s="445"/>
      <c r="F888" s="445"/>
      <c r="G888" s="445"/>
      <c r="H888" s="445">
        <f t="shared" si="21"/>
        <v>0</v>
      </c>
    </row>
    <row r="889" spans="1:8" x14ac:dyDescent="0.2">
      <c r="C889" s="115" t="s">
        <v>260</v>
      </c>
      <c r="D889" s="283"/>
      <c r="E889" s="283"/>
      <c r="F889" s="283"/>
      <c r="G889" s="283"/>
      <c r="H889" s="283">
        <f t="shared" si="21"/>
        <v>0</v>
      </c>
    </row>
    <row r="890" spans="1:8" x14ac:dyDescent="0.2">
      <c r="C890" s="252" t="s">
        <v>609</v>
      </c>
      <c r="D890" s="435">
        <v>50000</v>
      </c>
      <c r="E890" s="435"/>
      <c r="F890" s="435"/>
      <c r="G890" s="435"/>
      <c r="H890" s="435">
        <f t="shared" si="21"/>
        <v>50000</v>
      </c>
    </row>
    <row r="891" spans="1:8" x14ac:dyDescent="0.2">
      <c r="C891" s="174"/>
      <c r="D891" s="420"/>
      <c r="E891" s="420"/>
      <c r="F891" s="420"/>
      <c r="G891" s="420"/>
      <c r="H891" s="420">
        <f t="shared" si="21"/>
        <v>0</v>
      </c>
    </row>
    <row r="892" spans="1:8" x14ac:dyDescent="0.2">
      <c r="C892" s="112" t="s">
        <v>106</v>
      </c>
      <c r="D892" s="283">
        <f>D895</f>
        <v>1206950</v>
      </c>
      <c r="E892" s="283"/>
      <c r="F892" s="283">
        <f t="shared" ref="F892" si="26">F895</f>
        <v>28000</v>
      </c>
      <c r="G892" s="283">
        <f>G895</f>
        <v>35000</v>
      </c>
      <c r="H892" s="283">
        <f t="shared" si="21"/>
        <v>1269950</v>
      </c>
    </row>
    <row r="893" spans="1:8" x14ac:dyDescent="0.2">
      <c r="C893" s="98" t="s">
        <v>187</v>
      </c>
      <c r="D893" s="411">
        <f>D896</f>
        <v>558600</v>
      </c>
      <c r="E893" s="411"/>
      <c r="F893" s="411"/>
      <c r="G893" s="411">
        <f>G896</f>
        <v>0</v>
      </c>
      <c r="H893" s="411">
        <f t="shared" si="21"/>
        <v>558600</v>
      </c>
    </row>
    <row r="894" spans="1:8" x14ac:dyDescent="0.2">
      <c r="C894" s="115" t="s">
        <v>194</v>
      </c>
      <c r="D894" s="283"/>
      <c r="E894" s="283"/>
      <c r="F894" s="283"/>
      <c r="G894" s="283"/>
      <c r="H894" s="283">
        <f t="shared" si="21"/>
        <v>0</v>
      </c>
    </row>
    <row r="895" spans="1:8" x14ac:dyDescent="0.2">
      <c r="C895" s="116" t="s">
        <v>532</v>
      </c>
      <c r="D895" s="419">
        <v>1206950</v>
      </c>
      <c r="E895" s="419"/>
      <c r="F895" s="419">
        <v>28000</v>
      </c>
      <c r="G895" s="419">
        <v>35000</v>
      </c>
      <c r="H895" s="419">
        <f t="shared" si="21"/>
        <v>1269950</v>
      </c>
    </row>
    <row r="896" spans="1:8" x14ac:dyDescent="0.2">
      <c r="C896" s="103" t="s">
        <v>187</v>
      </c>
      <c r="D896" s="411">
        <f>549600+9000</f>
        <v>558600</v>
      </c>
      <c r="E896" s="411"/>
      <c r="F896" s="411"/>
      <c r="G896" s="411"/>
      <c r="H896" s="411">
        <f t="shared" si="21"/>
        <v>558600</v>
      </c>
    </row>
    <row r="897" spans="1:8" x14ac:dyDescent="0.2">
      <c r="C897" s="164"/>
      <c r="D897" s="419"/>
      <c r="E897" s="419"/>
      <c r="F897" s="419"/>
      <c r="G897" s="419"/>
      <c r="H897" s="419">
        <f t="shared" si="21"/>
        <v>0</v>
      </c>
    </row>
    <row r="898" spans="1:8" x14ac:dyDescent="0.2">
      <c r="C898" s="112" t="s">
        <v>506</v>
      </c>
      <c r="D898" s="283">
        <v>420000</v>
      </c>
      <c r="E898" s="283"/>
      <c r="F898" s="283"/>
      <c r="G898" s="283">
        <v>140000</v>
      </c>
      <c r="H898" s="283">
        <f t="shared" si="21"/>
        <v>560000</v>
      </c>
    </row>
    <row r="899" spans="1:8" x14ac:dyDescent="0.2">
      <c r="C899" s="164"/>
      <c r="D899" s="419"/>
      <c r="E899" s="419"/>
      <c r="F899" s="419"/>
      <c r="G899" s="419"/>
      <c r="H899" s="419">
        <f t="shared" si="21"/>
        <v>0</v>
      </c>
    </row>
    <row r="900" spans="1:8" x14ac:dyDescent="0.2">
      <c r="C900" s="112" t="s">
        <v>107</v>
      </c>
      <c r="D900" s="283">
        <f>D903+D907</f>
        <v>1154100</v>
      </c>
      <c r="E900" s="283"/>
      <c r="F900" s="283"/>
      <c r="G900" s="283">
        <f>G903+G907</f>
        <v>409800</v>
      </c>
      <c r="H900" s="283">
        <f t="shared" si="21"/>
        <v>1563900</v>
      </c>
    </row>
    <row r="901" spans="1:8" x14ac:dyDescent="0.2">
      <c r="C901" s="98" t="s">
        <v>187</v>
      </c>
      <c r="D901" s="411">
        <f>D904</f>
        <v>140400</v>
      </c>
      <c r="E901" s="411"/>
      <c r="F901" s="411"/>
      <c r="G901" s="411">
        <f>G904</f>
        <v>29800</v>
      </c>
      <c r="H901" s="411">
        <f t="shared" si="21"/>
        <v>170200</v>
      </c>
    </row>
    <row r="902" spans="1:8" x14ac:dyDescent="0.2">
      <c r="C902" s="115" t="s">
        <v>194</v>
      </c>
      <c r="D902" s="283"/>
      <c r="E902" s="283"/>
      <c r="F902" s="283"/>
      <c r="G902" s="283"/>
      <c r="H902" s="283">
        <f t="shared" si="21"/>
        <v>0</v>
      </c>
    </row>
    <row r="903" spans="1:8" ht="24" x14ac:dyDescent="0.2">
      <c r="C903" s="116" t="s">
        <v>533</v>
      </c>
      <c r="D903" s="419">
        <f>773525+226475</f>
        <v>1000000</v>
      </c>
      <c r="E903" s="419"/>
      <c r="F903" s="419"/>
      <c r="G903" s="419">
        <v>400000</v>
      </c>
      <c r="H903" s="419">
        <f t="shared" si="21"/>
        <v>1400000</v>
      </c>
    </row>
    <row r="904" spans="1:8" x14ac:dyDescent="0.2">
      <c r="C904" s="103" t="s">
        <v>187</v>
      </c>
      <c r="D904" s="411">
        <v>140400</v>
      </c>
      <c r="E904" s="411"/>
      <c r="F904" s="411"/>
      <c r="G904" s="411">
        <v>29800</v>
      </c>
      <c r="H904" s="411">
        <f t="shared" si="21"/>
        <v>170200</v>
      </c>
    </row>
    <row r="905" spans="1:8" x14ac:dyDescent="0.2">
      <c r="C905" s="165"/>
      <c r="D905" s="445"/>
      <c r="E905" s="445"/>
      <c r="F905" s="445"/>
      <c r="G905" s="445"/>
      <c r="H905" s="445">
        <f t="shared" si="21"/>
        <v>0</v>
      </c>
    </row>
    <row r="906" spans="1:8" x14ac:dyDescent="0.2">
      <c r="C906" s="115" t="s">
        <v>194</v>
      </c>
      <c r="D906" s="283"/>
      <c r="E906" s="283"/>
      <c r="F906" s="283"/>
      <c r="G906" s="283"/>
      <c r="H906" s="283">
        <f t="shared" si="21"/>
        <v>0</v>
      </c>
    </row>
    <row r="907" spans="1:8" ht="25.5" x14ac:dyDescent="0.2">
      <c r="C907" s="116" t="s">
        <v>483</v>
      </c>
      <c r="D907" s="419">
        <f>107000+47100</f>
        <v>154100</v>
      </c>
      <c r="E907" s="419"/>
      <c r="F907" s="419"/>
      <c r="G907" s="419">
        <v>9800</v>
      </c>
      <c r="H907" s="419">
        <f t="shared" si="21"/>
        <v>163900</v>
      </c>
    </row>
    <row r="908" spans="1:8" x14ac:dyDescent="0.2">
      <c r="C908" s="164"/>
      <c r="D908" s="419"/>
      <c r="E908" s="419"/>
      <c r="F908" s="419"/>
      <c r="G908" s="419"/>
      <c r="H908" s="419">
        <f t="shared" si="21"/>
        <v>0</v>
      </c>
    </row>
    <row r="909" spans="1:8" ht="15" x14ac:dyDescent="0.2">
      <c r="A909" s="6" t="s">
        <v>688</v>
      </c>
      <c r="B909" s="6" t="s">
        <v>276</v>
      </c>
      <c r="C909" s="114" t="s">
        <v>279</v>
      </c>
      <c r="D909" s="384">
        <f>SUM(D910)</f>
        <v>3500</v>
      </c>
      <c r="E909" s="384"/>
      <c r="F909" s="384"/>
      <c r="G909" s="384">
        <f>SUM(G910)</f>
        <v>1100</v>
      </c>
      <c r="H909" s="384">
        <f t="shared" si="21"/>
        <v>4600</v>
      </c>
    </row>
    <row r="910" spans="1:8" x14ac:dyDescent="0.2">
      <c r="C910" s="112" t="s">
        <v>509</v>
      </c>
      <c r="D910" s="283">
        <v>3500</v>
      </c>
      <c r="E910" s="283"/>
      <c r="F910" s="283"/>
      <c r="G910" s="283">
        <v>1100</v>
      </c>
      <c r="H910" s="283">
        <f t="shared" si="21"/>
        <v>4600</v>
      </c>
    </row>
    <row r="911" spans="1:8" x14ac:dyDescent="0.2">
      <c r="C911" s="165"/>
      <c r="D911" s="445"/>
      <c r="E911" s="445"/>
      <c r="F911" s="445"/>
      <c r="G911" s="445"/>
      <c r="H911" s="445">
        <f t="shared" si="21"/>
        <v>0</v>
      </c>
    </row>
    <row r="912" spans="1:8" ht="15" x14ac:dyDescent="0.2">
      <c r="A912" s="6" t="s">
        <v>679</v>
      </c>
      <c r="B912" s="6" t="s">
        <v>276</v>
      </c>
      <c r="C912" s="114" t="s">
        <v>202</v>
      </c>
      <c r="D912" s="384">
        <f>SUM(D913)</f>
        <v>1015735</v>
      </c>
      <c r="E912" s="384"/>
      <c r="F912" s="384">
        <f>SUM(F913)</f>
        <v>-1593</v>
      </c>
      <c r="G912" s="384">
        <f>SUM(G913)</f>
        <v>22</v>
      </c>
      <c r="H912" s="384">
        <f t="shared" si="21"/>
        <v>1014164</v>
      </c>
    </row>
    <row r="913" spans="1:8" x14ac:dyDescent="0.2">
      <c r="C913" s="112" t="s">
        <v>534</v>
      </c>
      <c r="D913" s="283">
        <f>915735+75000+25000</f>
        <v>1015735</v>
      </c>
      <c r="E913" s="283"/>
      <c r="F913" s="283">
        <v>-1593</v>
      </c>
      <c r="G913" s="283">
        <v>22</v>
      </c>
      <c r="H913" s="283">
        <f t="shared" si="21"/>
        <v>1014164</v>
      </c>
    </row>
    <row r="914" spans="1:8" x14ac:dyDescent="0.2">
      <c r="C914" s="98" t="s">
        <v>187</v>
      </c>
      <c r="D914" s="411">
        <f>472800+56000+18657</f>
        <v>547457</v>
      </c>
      <c r="E914" s="411"/>
      <c r="F914" s="411"/>
      <c r="G914" s="411"/>
      <c r="H914" s="411">
        <f t="shared" si="21"/>
        <v>547457</v>
      </c>
    </row>
    <row r="915" spans="1:8" x14ac:dyDescent="0.2">
      <c r="C915" s="179"/>
      <c r="D915" s="449"/>
      <c r="E915" s="449"/>
      <c r="F915" s="449"/>
      <c r="G915" s="449"/>
      <c r="H915" s="449">
        <f t="shared" si="21"/>
        <v>0</v>
      </c>
    </row>
    <row r="916" spans="1:8" x14ac:dyDescent="0.2">
      <c r="C916" s="108" t="s">
        <v>186</v>
      </c>
      <c r="D916" s="408">
        <f>SUM(D918,D921,D924,D926,D928,D934,D937,D939,D941)</f>
        <v>2079880</v>
      </c>
      <c r="E916" s="408"/>
      <c r="F916" s="408">
        <f>SUM(F918,F921,F924,F926,F928,F934,F937,F939,F941,F946)</f>
        <v>23775</v>
      </c>
      <c r="G916" s="408">
        <f>SUM(G918,G921,G924,G926,G928,G934,G937,G939,G941)</f>
        <v>-35500</v>
      </c>
      <c r="H916" s="408">
        <f t="shared" si="21"/>
        <v>2068155</v>
      </c>
    </row>
    <row r="917" spans="1:8" x14ac:dyDescent="0.2">
      <c r="C917" s="108"/>
      <c r="D917" s="408"/>
      <c r="E917" s="408"/>
      <c r="F917" s="408"/>
      <c r="G917" s="408"/>
      <c r="H917" s="408">
        <f t="shared" si="21"/>
        <v>0</v>
      </c>
    </row>
    <row r="918" spans="1:8" x14ac:dyDescent="0.2">
      <c r="A918" s="6" t="s">
        <v>690</v>
      </c>
      <c r="B918" s="6" t="s">
        <v>276</v>
      </c>
      <c r="C918" s="92" t="s">
        <v>280</v>
      </c>
      <c r="D918" s="388">
        <f>990866+938</f>
        <v>991804</v>
      </c>
      <c r="E918" s="388"/>
      <c r="F918" s="388"/>
      <c r="G918" s="388">
        <v>-6000</v>
      </c>
      <c r="H918" s="388">
        <f t="shared" si="21"/>
        <v>985804</v>
      </c>
    </row>
    <row r="919" spans="1:8" x14ac:dyDescent="0.2">
      <c r="C919" s="93" t="s">
        <v>187</v>
      </c>
      <c r="D919" s="411">
        <f>656312+700</f>
        <v>657012</v>
      </c>
      <c r="E919" s="411"/>
      <c r="F919" s="411">
        <v>12300</v>
      </c>
      <c r="G919" s="411"/>
      <c r="H919" s="411">
        <f t="shared" si="21"/>
        <v>669312</v>
      </c>
    </row>
    <row r="920" spans="1:8" x14ac:dyDescent="0.2">
      <c r="C920" s="101"/>
      <c r="D920" s="406"/>
      <c r="E920" s="406"/>
      <c r="F920" s="406"/>
      <c r="G920" s="406"/>
      <c r="H920" s="406">
        <f t="shared" si="21"/>
        <v>0</v>
      </c>
    </row>
    <row r="921" spans="1:8" x14ac:dyDescent="0.2">
      <c r="A921" s="6" t="s">
        <v>689</v>
      </c>
      <c r="B921" s="6" t="s">
        <v>276</v>
      </c>
      <c r="C921" s="104" t="s">
        <v>413</v>
      </c>
      <c r="D921" s="417">
        <v>71900</v>
      </c>
      <c r="E921" s="417"/>
      <c r="F921" s="417"/>
      <c r="G921" s="417"/>
      <c r="H921" s="417">
        <f t="shared" si="21"/>
        <v>71900</v>
      </c>
    </row>
    <row r="922" spans="1:8" x14ac:dyDescent="0.2">
      <c r="C922" s="93" t="s">
        <v>187</v>
      </c>
      <c r="D922" s="411">
        <v>35900</v>
      </c>
      <c r="E922" s="411"/>
      <c r="F922" s="411"/>
      <c r="G922" s="411"/>
      <c r="H922" s="411">
        <f t="shared" si="21"/>
        <v>35900</v>
      </c>
    </row>
    <row r="923" spans="1:8" x14ac:dyDescent="0.2">
      <c r="C923" s="198"/>
      <c r="D923" s="410"/>
      <c r="E923" s="410"/>
      <c r="F923" s="410"/>
      <c r="G923" s="410"/>
      <c r="H923" s="410">
        <f t="shared" si="21"/>
        <v>0</v>
      </c>
    </row>
    <row r="924" spans="1:8" x14ac:dyDescent="0.2">
      <c r="A924" s="6" t="s">
        <v>690</v>
      </c>
      <c r="B924" s="6" t="s">
        <v>276</v>
      </c>
      <c r="C924" s="101" t="s">
        <v>109</v>
      </c>
      <c r="D924" s="406">
        <f>200000+35000</f>
        <v>235000</v>
      </c>
      <c r="E924" s="406"/>
      <c r="F924" s="406"/>
      <c r="G924" s="406"/>
      <c r="H924" s="406">
        <f t="shared" si="21"/>
        <v>235000</v>
      </c>
    </row>
    <row r="925" spans="1:8" x14ac:dyDescent="0.2">
      <c r="C925" s="108"/>
      <c r="D925" s="408"/>
      <c r="E925" s="408"/>
      <c r="F925" s="408"/>
      <c r="G925" s="408"/>
      <c r="H925" s="408">
        <f t="shared" si="21"/>
        <v>0</v>
      </c>
    </row>
    <row r="926" spans="1:8" x14ac:dyDescent="0.2">
      <c r="A926" s="6" t="s">
        <v>687</v>
      </c>
      <c r="B926" s="6" t="s">
        <v>276</v>
      </c>
      <c r="C926" s="92" t="s">
        <v>281</v>
      </c>
      <c r="D926" s="388">
        <v>113600</v>
      </c>
      <c r="E926" s="388"/>
      <c r="F926" s="388"/>
      <c r="G926" s="388">
        <v>-10100</v>
      </c>
      <c r="H926" s="388">
        <f t="shared" si="21"/>
        <v>103500</v>
      </c>
    </row>
    <row r="927" spans="1:8" x14ac:dyDescent="0.2">
      <c r="C927" s="165"/>
      <c r="D927" s="445"/>
      <c r="E927" s="445"/>
      <c r="F927" s="445"/>
      <c r="G927" s="445"/>
      <c r="H927" s="445">
        <f t="shared" si="21"/>
        <v>0</v>
      </c>
    </row>
    <row r="928" spans="1:8" x14ac:dyDescent="0.2">
      <c r="A928" s="6" t="s">
        <v>687</v>
      </c>
      <c r="B928" s="6" t="s">
        <v>276</v>
      </c>
      <c r="C928" s="104" t="s">
        <v>285</v>
      </c>
      <c r="D928" s="417">
        <v>390000</v>
      </c>
      <c r="E928" s="417"/>
      <c r="F928" s="417"/>
      <c r="G928" s="417"/>
      <c r="H928" s="417">
        <f t="shared" si="21"/>
        <v>390000</v>
      </c>
    </row>
    <row r="929" spans="1:8" s="310" customFormat="1" x14ac:dyDescent="0.2">
      <c r="C929" s="130" t="s">
        <v>870</v>
      </c>
      <c r="D929" s="410"/>
      <c r="E929" s="410"/>
      <c r="F929" s="410"/>
      <c r="G929" s="410"/>
      <c r="H929" s="410">
        <f t="shared" si="21"/>
        <v>0</v>
      </c>
    </row>
    <row r="930" spans="1:8" s="310" customFormat="1" x14ac:dyDescent="0.2">
      <c r="C930" s="141" t="s">
        <v>108</v>
      </c>
      <c r="D930" s="416"/>
      <c r="E930" s="416"/>
      <c r="F930" s="416"/>
      <c r="G930" s="416"/>
      <c r="H930" s="416">
        <f t="shared" si="21"/>
        <v>0</v>
      </c>
    </row>
    <row r="931" spans="1:8" s="310" customFormat="1" x14ac:dyDescent="0.2">
      <c r="C931" s="141" t="s">
        <v>56</v>
      </c>
      <c r="D931" s="416"/>
      <c r="E931" s="416"/>
      <c r="F931" s="416"/>
      <c r="G931" s="416"/>
      <c r="H931" s="416">
        <f t="shared" si="21"/>
        <v>0</v>
      </c>
    </row>
    <row r="932" spans="1:8" s="310" customFormat="1" x14ac:dyDescent="0.2">
      <c r="C932" s="141" t="s">
        <v>57</v>
      </c>
      <c r="D932" s="416"/>
      <c r="E932" s="416"/>
      <c r="F932" s="416"/>
      <c r="G932" s="416"/>
      <c r="H932" s="416">
        <f t="shared" si="21"/>
        <v>0</v>
      </c>
    </row>
    <row r="933" spans="1:8" x14ac:dyDescent="0.2">
      <c r="C933" s="93"/>
      <c r="D933" s="411"/>
      <c r="E933" s="411"/>
      <c r="F933" s="411"/>
      <c r="G933" s="411"/>
      <c r="H933" s="411">
        <f t="shared" si="21"/>
        <v>0</v>
      </c>
    </row>
    <row r="934" spans="1:8" x14ac:dyDescent="0.2">
      <c r="A934" s="6" t="s">
        <v>687</v>
      </c>
      <c r="B934" s="6" t="s">
        <v>276</v>
      </c>
      <c r="C934" s="92" t="s">
        <v>740</v>
      </c>
      <c r="D934" s="388">
        <v>31500</v>
      </c>
      <c r="E934" s="388"/>
      <c r="F934" s="388"/>
      <c r="G934" s="388">
        <v>6000</v>
      </c>
      <c r="H934" s="388">
        <f t="shared" si="21"/>
        <v>37500</v>
      </c>
    </row>
    <row r="935" spans="1:8" x14ac:dyDescent="0.2">
      <c r="C935" s="93" t="s">
        <v>187</v>
      </c>
      <c r="D935" s="411">
        <v>6600</v>
      </c>
      <c r="E935" s="411"/>
      <c r="F935" s="411"/>
      <c r="G935" s="411"/>
      <c r="H935" s="411">
        <f t="shared" si="21"/>
        <v>6600</v>
      </c>
    </row>
    <row r="936" spans="1:8" x14ac:dyDescent="0.2">
      <c r="C936" s="153"/>
      <c r="D936" s="437"/>
      <c r="E936" s="437"/>
      <c r="F936" s="437"/>
      <c r="G936" s="437"/>
      <c r="H936" s="437">
        <f t="shared" si="21"/>
        <v>0</v>
      </c>
    </row>
    <row r="937" spans="1:8" x14ac:dyDescent="0.2">
      <c r="A937" s="6" t="s">
        <v>678</v>
      </c>
      <c r="B937" s="6" t="s">
        <v>276</v>
      </c>
      <c r="C937" s="92" t="s">
        <v>110</v>
      </c>
      <c r="D937" s="388">
        <v>9500</v>
      </c>
      <c r="E937" s="388"/>
      <c r="F937" s="388"/>
      <c r="G937" s="388">
        <v>9600</v>
      </c>
      <c r="H937" s="388">
        <f t="shared" si="21"/>
        <v>19100</v>
      </c>
    </row>
    <row r="938" spans="1:8" x14ac:dyDescent="0.2">
      <c r="C938" s="93"/>
      <c r="D938" s="411"/>
      <c r="E938" s="411"/>
      <c r="F938" s="411"/>
      <c r="G938" s="411"/>
      <c r="H938" s="411">
        <f t="shared" si="21"/>
        <v>0</v>
      </c>
    </row>
    <row r="939" spans="1:8" ht="25.5" x14ac:dyDescent="0.2">
      <c r="A939" s="6" t="s">
        <v>690</v>
      </c>
      <c r="B939" s="6" t="s">
        <v>276</v>
      </c>
      <c r="C939" s="104" t="s">
        <v>576</v>
      </c>
      <c r="D939" s="417">
        <v>200000</v>
      </c>
      <c r="E939" s="417"/>
      <c r="F939" s="417"/>
      <c r="G939" s="417">
        <v>-35000</v>
      </c>
      <c r="H939" s="417">
        <f t="shared" si="21"/>
        <v>165000</v>
      </c>
    </row>
    <row r="940" spans="1:8" x14ac:dyDescent="0.2">
      <c r="C940" s="106"/>
      <c r="D940" s="415"/>
      <c r="E940" s="415"/>
      <c r="F940" s="415"/>
      <c r="G940" s="415"/>
      <c r="H940" s="415">
        <f t="shared" si="21"/>
        <v>0</v>
      </c>
    </row>
    <row r="941" spans="1:8" ht="25.5" x14ac:dyDescent="0.2">
      <c r="A941" s="6" t="s">
        <v>690</v>
      </c>
      <c r="B941" s="6" t="s">
        <v>276</v>
      </c>
      <c r="C941" s="104" t="s">
        <v>398</v>
      </c>
      <c r="D941" s="417">
        <v>36576</v>
      </c>
      <c r="E941" s="417"/>
      <c r="F941" s="417"/>
      <c r="G941" s="417"/>
      <c r="H941" s="417">
        <f t="shared" ref="H941:H994" si="27">SUM(D941:G941)</f>
        <v>36576</v>
      </c>
    </row>
    <row r="942" spans="1:8" x14ac:dyDescent="0.2">
      <c r="C942" s="93" t="s">
        <v>187</v>
      </c>
      <c r="D942" s="411">
        <v>14160</v>
      </c>
      <c r="E942" s="411"/>
      <c r="F942" s="411"/>
      <c r="G942" s="411"/>
      <c r="H942" s="411">
        <f t="shared" si="27"/>
        <v>14160</v>
      </c>
    </row>
    <row r="943" spans="1:8" x14ac:dyDescent="0.2">
      <c r="C943" s="153"/>
      <c r="D943" s="437"/>
      <c r="E943" s="437"/>
      <c r="F943" s="437"/>
      <c r="G943" s="437"/>
      <c r="H943" s="437">
        <f t="shared" si="27"/>
        <v>0</v>
      </c>
    </row>
    <row r="944" spans="1:8" x14ac:dyDescent="0.2">
      <c r="C944" s="106" t="s">
        <v>200</v>
      </c>
      <c r="D944" s="415">
        <v>31055</v>
      </c>
      <c r="E944" s="415"/>
      <c r="F944" s="415"/>
      <c r="G944" s="415"/>
      <c r="H944" s="415">
        <f t="shared" si="27"/>
        <v>31055</v>
      </c>
    </row>
    <row r="945" spans="1:8" x14ac:dyDescent="0.2">
      <c r="C945" s="153"/>
      <c r="D945" s="437"/>
      <c r="E945" s="437"/>
      <c r="F945" s="437"/>
      <c r="G945" s="437"/>
      <c r="H945" s="437">
        <f t="shared" si="27"/>
        <v>0</v>
      </c>
    </row>
    <row r="946" spans="1:8" ht="25.5" x14ac:dyDescent="0.2">
      <c r="A946" s="6" t="s">
        <v>690</v>
      </c>
      <c r="B946" s="6" t="s">
        <v>276</v>
      </c>
      <c r="C946" s="104" t="s">
        <v>772</v>
      </c>
      <c r="D946" s="417"/>
      <c r="E946" s="417"/>
      <c r="F946" s="417">
        <v>23775</v>
      </c>
      <c r="G946" s="417"/>
      <c r="H946" s="417">
        <f t="shared" si="27"/>
        <v>23775</v>
      </c>
    </row>
    <row r="947" spans="1:8" x14ac:dyDescent="0.2">
      <c r="C947" s="93" t="s">
        <v>187</v>
      </c>
      <c r="D947" s="411"/>
      <c r="E947" s="411"/>
      <c r="F947" s="411">
        <v>10523</v>
      </c>
      <c r="G947" s="411"/>
      <c r="H947" s="411">
        <f t="shared" si="27"/>
        <v>10523</v>
      </c>
    </row>
    <row r="948" spans="1:8" x14ac:dyDescent="0.2">
      <c r="C948" s="153"/>
      <c r="D948" s="437"/>
      <c r="E948" s="437"/>
      <c r="F948" s="437"/>
      <c r="G948" s="437"/>
      <c r="H948" s="437">
        <f t="shared" si="27"/>
        <v>0</v>
      </c>
    </row>
    <row r="949" spans="1:8" x14ac:dyDescent="0.2">
      <c r="C949" s="106" t="s">
        <v>200</v>
      </c>
      <c r="D949" s="415"/>
      <c r="E949" s="415"/>
      <c r="F949" s="415">
        <v>23775</v>
      </c>
      <c r="G949" s="415"/>
      <c r="H949" s="415">
        <f t="shared" si="27"/>
        <v>23775</v>
      </c>
    </row>
    <row r="950" spans="1:8" x14ac:dyDescent="0.2">
      <c r="C950" s="153"/>
      <c r="D950" s="437"/>
      <c r="E950" s="437"/>
      <c r="F950" s="437"/>
      <c r="G950" s="437"/>
      <c r="H950" s="437">
        <f t="shared" si="27"/>
        <v>0</v>
      </c>
    </row>
    <row r="951" spans="1:8" x14ac:dyDescent="0.2">
      <c r="C951" s="96"/>
      <c r="D951" s="72"/>
      <c r="E951" s="72"/>
      <c r="F951" s="72"/>
      <c r="G951" s="72"/>
      <c r="H951" s="72">
        <f t="shared" si="27"/>
        <v>0</v>
      </c>
    </row>
    <row r="952" spans="1:8" ht="15.75" x14ac:dyDescent="0.2">
      <c r="C952" s="107" t="s">
        <v>730</v>
      </c>
      <c r="D952" s="412"/>
      <c r="E952" s="412"/>
      <c r="F952" s="412"/>
      <c r="G952" s="412"/>
      <c r="H952" s="412">
        <f t="shared" si="27"/>
        <v>0</v>
      </c>
    </row>
    <row r="953" spans="1:8" x14ac:dyDescent="0.2">
      <c r="C953" s="96"/>
      <c r="D953" s="72"/>
      <c r="E953" s="72"/>
      <c r="F953" s="72"/>
      <c r="G953" s="72"/>
      <c r="H953" s="72">
        <f t="shared" si="27"/>
        <v>0</v>
      </c>
    </row>
    <row r="954" spans="1:8" x14ac:dyDescent="0.2">
      <c r="C954" s="108" t="s">
        <v>182</v>
      </c>
      <c r="D954" s="408">
        <f>SUM(D960,D963,D966)</f>
        <v>3186227</v>
      </c>
      <c r="E954" s="408"/>
      <c r="F954" s="408"/>
      <c r="G954" s="408">
        <f>SUM(G960,G963,G966)</f>
        <v>-58734</v>
      </c>
      <c r="H954" s="408">
        <f t="shared" si="27"/>
        <v>3127493</v>
      </c>
    </row>
    <row r="955" spans="1:8" x14ac:dyDescent="0.2">
      <c r="C955" s="79" t="s">
        <v>201</v>
      </c>
      <c r="D955" s="409">
        <v>89000</v>
      </c>
      <c r="E955" s="409"/>
      <c r="F955" s="409"/>
      <c r="G955" s="409"/>
      <c r="H955" s="409">
        <f t="shared" si="27"/>
        <v>89000</v>
      </c>
    </row>
    <row r="956" spans="1:8" x14ac:dyDescent="0.2">
      <c r="C956" s="109" t="s">
        <v>183</v>
      </c>
      <c r="D956" s="386">
        <f>SUM(D957:D958)</f>
        <v>3186227</v>
      </c>
      <c r="E956" s="386"/>
      <c r="F956" s="386"/>
      <c r="G956" s="386">
        <f>SUM(G957:G958)</f>
        <v>-58734</v>
      </c>
      <c r="H956" s="386">
        <f t="shared" si="27"/>
        <v>3127493</v>
      </c>
    </row>
    <row r="957" spans="1:8" x14ac:dyDescent="0.2">
      <c r="C957" s="110" t="s">
        <v>184</v>
      </c>
      <c r="D957" s="409">
        <f>'2.2 OMATULUD'!B468</f>
        <v>8000</v>
      </c>
      <c r="E957" s="409"/>
      <c r="F957" s="409"/>
      <c r="G957" s="409">
        <v>6000</v>
      </c>
      <c r="H957" s="409">
        <f t="shared" si="27"/>
        <v>14000</v>
      </c>
    </row>
    <row r="958" spans="1:8" x14ac:dyDescent="0.2">
      <c r="C958" s="111" t="s">
        <v>185</v>
      </c>
      <c r="D958" s="409">
        <f>D954-D957</f>
        <v>3178227</v>
      </c>
      <c r="E958" s="409"/>
      <c r="F958" s="409"/>
      <c r="G958" s="409">
        <f>G954-G957</f>
        <v>-64734</v>
      </c>
      <c r="H958" s="409">
        <f t="shared" si="27"/>
        <v>3113493</v>
      </c>
    </row>
    <row r="959" spans="1:8" x14ac:dyDescent="0.2">
      <c r="C959" s="96"/>
      <c r="D959" s="72"/>
      <c r="E959" s="72"/>
      <c r="F959" s="72"/>
      <c r="G959" s="72"/>
      <c r="H959" s="72">
        <f t="shared" si="27"/>
        <v>0</v>
      </c>
    </row>
    <row r="960" spans="1:8" x14ac:dyDescent="0.2">
      <c r="A960" s="6" t="s">
        <v>691</v>
      </c>
      <c r="B960" s="6" t="s">
        <v>170</v>
      </c>
      <c r="C960" s="101" t="s">
        <v>731</v>
      </c>
      <c r="D960" s="406">
        <v>2613827</v>
      </c>
      <c r="E960" s="406"/>
      <c r="F960" s="406"/>
      <c r="G960" s="406">
        <v>1266</v>
      </c>
      <c r="H960" s="406">
        <f t="shared" si="27"/>
        <v>2615093</v>
      </c>
    </row>
    <row r="961" spans="1:8" x14ac:dyDescent="0.2">
      <c r="C961" s="93" t="s">
        <v>187</v>
      </c>
      <c r="D961" s="411">
        <v>1828234</v>
      </c>
      <c r="E961" s="411"/>
      <c r="F961" s="411">
        <f>15085-325</f>
        <v>14760</v>
      </c>
      <c r="G961" s="411">
        <v>-306</v>
      </c>
      <c r="H961" s="411">
        <f t="shared" si="27"/>
        <v>1842688</v>
      </c>
    </row>
    <row r="962" spans="1:8" x14ac:dyDescent="0.2">
      <c r="C962" s="93"/>
      <c r="D962" s="411"/>
      <c r="E962" s="411"/>
      <c r="F962" s="411"/>
      <c r="G962" s="411"/>
      <c r="H962" s="411">
        <f t="shared" si="27"/>
        <v>0</v>
      </c>
    </row>
    <row r="963" spans="1:8" x14ac:dyDescent="0.2">
      <c r="A963" s="6" t="s">
        <v>691</v>
      </c>
      <c r="B963" s="6" t="s">
        <v>170</v>
      </c>
      <c r="C963" s="101" t="s">
        <v>484</v>
      </c>
      <c r="D963" s="406">
        <v>447400</v>
      </c>
      <c r="E963" s="406"/>
      <c r="F963" s="406"/>
      <c r="G963" s="406">
        <v>-17000</v>
      </c>
      <c r="H963" s="406">
        <f t="shared" si="27"/>
        <v>430400</v>
      </c>
    </row>
    <row r="964" spans="1:8" x14ac:dyDescent="0.2">
      <c r="C964" s="93" t="s">
        <v>626</v>
      </c>
      <c r="D964" s="411">
        <v>75000</v>
      </c>
      <c r="E964" s="411"/>
      <c r="F964" s="411"/>
      <c r="G964" s="411"/>
      <c r="H964" s="411">
        <f t="shared" si="27"/>
        <v>75000</v>
      </c>
    </row>
    <row r="965" spans="1:8" x14ac:dyDescent="0.2">
      <c r="C965" s="101"/>
      <c r="D965" s="406"/>
      <c r="E965" s="406"/>
      <c r="F965" s="406"/>
      <c r="G965" s="406"/>
      <c r="H965" s="406">
        <f t="shared" si="27"/>
        <v>0</v>
      </c>
    </row>
    <row r="966" spans="1:8" x14ac:dyDescent="0.2">
      <c r="A966" s="6" t="s">
        <v>691</v>
      </c>
      <c r="B966" s="6" t="s">
        <v>170</v>
      </c>
      <c r="C966" s="101" t="s">
        <v>861</v>
      </c>
      <c r="D966" s="406">
        <f>90000+35000</f>
        <v>125000</v>
      </c>
      <c r="E966" s="406"/>
      <c r="F966" s="406"/>
      <c r="G966" s="406">
        <v>-43000</v>
      </c>
      <c r="H966" s="406">
        <f t="shared" si="27"/>
        <v>82000</v>
      </c>
    </row>
    <row r="967" spans="1:8" x14ac:dyDescent="0.2">
      <c r="A967" s="382"/>
      <c r="B967" s="382"/>
      <c r="C967" s="92"/>
      <c r="D967" s="388"/>
      <c r="E967" s="388"/>
      <c r="F967" s="388"/>
      <c r="G967" s="388"/>
      <c r="H967" s="388">
        <f t="shared" si="27"/>
        <v>0</v>
      </c>
    </row>
    <row r="968" spans="1:8" x14ac:dyDescent="0.2">
      <c r="A968" s="382"/>
      <c r="B968" s="382"/>
      <c r="C968" s="92"/>
      <c r="D968" s="388"/>
      <c r="E968" s="388"/>
      <c r="F968" s="388"/>
      <c r="G968" s="388"/>
      <c r="H968" s="388">
        <f t="shared" si="27"/>
        <v>0</v>
      </c>
    </row>
    <row r="969" spans="1:8" ht="15.75" x14ac:dyDescent="0.2">
      <c r="C969" s="118" t="s">
        <v>732</v>
      </c>
      <c r="D969" s="407"/>
      <c r="E969" s="407"/>
      <c r="F969" s="407"/>
      <c r="G969" s="407"/>
      <c r="H969" s="407">
        <f t="shared" si="27"/>
        <v>0</v>
      </c>
    </row>
    <row r="970" spans="1:8" x14ac:dyDescent="0.2">
      <c r="C970" s="108"/>
      <c r="D970" s="408"/>
      <c r="E970" s="408"/>
      <c r="F970" s="408"/>
      <c r="G970" s="408"/>
      <c r="H970" s="408">
        <f t="shared" si="27"/>
        <v>0</v>
      </c>
    </row>
    <row r="971" spans="1:8" x14ac:dyDescent="0.2">
      <c r="C971" s="108" t="s">
        <v>182</v>
      </c>
      <c r="D971" s="408">
        <f>SUM(D976)</f>
        <v>2844777</v>
      </c>
      <c r="E971" s="408"/>
      <c r="F971" s="408"/>
      <c r="G971" s="408">
        <f>SUM(G976)</f>
        <v>14824</v>
      </c>
      <c r="H971" s="408">
        <f t="shared" si="27"/>
        <v>2859601</v>
      </c>
    </row>
    <row r="972" spans="1:8" x14ac:dyDescent="0.2">
      <c r="C972" s="110" t="s">
        <v>201</v>
      </c>
      <c r="D972" s="409">
        <v>2245</v>
      </c>
      <c r="E972" s="409"/>
      <c r="F972" s="409"/>
      <c r="G972" s="409"/>
      <c r="H972" s="409">
        <f t="shared" si="27"/>
        <v>2245</v>
      </c>
    </row>
    <row r="973" spans="1:8" x14ac:dyDescent="0.2">
      <c r="C973" s="109" t="s">
        <v>183</v>
      </c>
      <c r="D973" s="386">
        <f>SUM(D974)</f>
        <v>2844777</v>
      </c>
      <c r="E973" s="386"/>
      <c r="F973" s="386"/>
      <c r="G973" s="386">
        <f>SUM(G974)</f>
        <v>14824</v>
      </c>
      <c r="H973" s="386">
        <f t="shared" si="27"/>
        <v>2859601</v>
      </c>
    </row>
    <row r="974" spans="1:8" x14ac:dyDescent="0.2">
      <c r="C974" s="110" t="s">
        <v>270</v>
      </c>
      <c r="D974" s="409">
        <f>D971</f>
        <v>2844777</v>
      </c>
      <c r="E974" s="409"/>
      <c r="F974" s="409"/>
      <c r="G974" s="409">
        <f>G971</f>
        <v>14824</v>
      </c>
      <c r="H974" s="409">
        <f t="shared" si="27"/>
        <v>2859601</v>
      </c>
    </row>
    <row r="975" spans="1:8" x14ac:dyDescent="0.2">
      <c r="C975" s="96"/>
      <c r="D975" s="72"/>
      <c r="E975" s="72"/>
      <c r="F975" s="72"/>
      <c r="G975" s="72"/>
      <c r="H975" s="72">
        <f t="shared" si="27"/>
        <v>0</v>
      </c>
    </row>
    <row r="976" spans="1:8" x14ac:dyDescent="0.2">
      <c r="A976" s="6" t="s">
        <v>677</v>
      </c>
      <c r="B976" s="6" t="s">
        <v>175</v>
      </c>
      <c r="C976" s="104" t="s">
        <v>733</v>
      </c>
      <c r="D976" s="417">
        <v>2844777</v>
      </c>
      <c r="E976" s="417"/>
      <c r="F976" s="417"/>
      <c r="G976" s="417">
        <v>14824</v>
      </c>
      <c r="H976" s="417">
        <f t="shared" si="27"/>
        <v>2859601</v>
      </c>
    </row>
    <row r="977" spans="1:8" x14ac:dyDescent="0.2">
      <c r="C977" s="93" t="s">
        <v>187</v>
      </c>
      <c r="D977" s="411">
        <v>1667938</v>
      </c>
      <c r="E977" s="411"/>
      <c r="F977" s="411"/>
      <c r="G977" s="411">
        <v>-2053</v>
      </c>
      <c r="H977" s="411">
        <f t="shared" si="27"/>
        <v>1665885</v>
      </c>
    </row>
    <row r="978" spans="1:8" x14ac:dyDescent="0.2">
      <c r="C978" s="165"/>
      <c r="D978" s="445"/>
      <c r="E978" s="445"/>
      <c r="F978" s="445"/>
      <c r="G978" s="445"/>
      <c r="H978" s="445">
        <f t="shared" si="27"/>
        <v>0</v>
      </c>
    </row>
    <row r="979" spans="1:8" x14ac:dyDescent="0.2">
      <c r="C979" s="108"/>
      <c r="D979" s="408"/>
      <c r="E979" s="408"/>
      <c r="F979" s="408"/>
      <c r="G979" s="408"/>
      <c r="H979" s="408">
        <f t="shared" si="27"/>
        <v>0</v>
      </c>
    </row>
    <row r="980" spans="1:8" ht="15.75" x14ac:dyDescent="0.2">
      <c r="C980" s="118" t="s">
        <v>282</v>
      </c>
      <c r="D980" s="407"/>
      <c r="E980" s="407"/>
      <c r="F980" s="407"/>
      <c r="G980" s="407"/>
      <c r="H980" s="407">
        <f t="shared" si="27"/>
        <v>0</v>
      </c>
    </row>
    <row r="981" spans="1:8" x14ac:dyDescent="0.2">
      <c r="C981" s="96"/>
      <c r="D981" s="72"/>
      <c r="E981" s="72"/>
      <c r="F981" s="72"/>
      <c r="G981" s="72"/>
      <c r="H981" s="72">
        <f t="shared" si="27"/>
        <v>0</v>
      </c>
    </row>
    <row r="982" spans="1:8" x14ac:dyDescent="0.2">
      <c r="C982" s="108" t="s">
        <v>182</v>
      </c>
      <c r="D982" s="408">
        <f>D988+D998+D1008+D1011+D992</f>
        <v>1814542</v>
      </c>
      <c r="E982" s="408">
        <f t="shared" ref="E982:G982" si="28">E988+E998+E1008+E1011+E992</f>
        <v>8710</v>
      </c>
      <c r="F982" s="408">
        <f t="shared" si="28"/>
        <v>2950</v>
      </c>
      <c r="G982" s="408">
        <f t="shared" si="28"/>
        <v>14657</v>
      </c>
      <c r="H982" s="408">
        <f t="shared" si="27"/>
        <v>1840859</v>
      </c>
    </row>
    <row r="983" spans="1:8" x14ac:dyDescent="0.2">
      <c r="C983" s="79" t="s">
        <v>201</v>
      </c>
      <c r="D983" s="409">
        <v>305000</v>
      </c>
      <c r="E983" s="409"/>
      <c r="F983" s="409">
        <v>706500</v>
      </c>
      <c r="G983" s="409"/>
      <c r="H983" s="409">
        <f t="shared" si="27"/>
        <v>1011500</v>
      </c>
    </row>
    <row r="984" spans="1:8" x14ac:dyDescent="0.2">
      <c r="C984" s="109" t="s">
        <v>183</v>
      </c>
      <c r="D984" s="386">
        <f>D985+D986</f>
        <v>1814542</v>
      </c>
      <c r="E984" s="386">
        <f t="shared" ref="E984:G984" si="29">E985+E986</f>
        <v>8710</v>
      </c>
      <c r="F984" s="386">
        <f t="shared" si="29"/>
        <v>2950</v>
      </c>
      <c r="G984" s="386">
        <f t="shared" si="29"/>
        <v>14657</v>
      </c>
      <c r="H984" s="386">
        <f t="shared" si="27"/>
        <v>1840859</v>
      </c>
    </row>
    <row r="985" spans="1:8" x14ac:dyDescent="0.2">
      <c r="C985" s="110" t="s">
        <v>184</v>
      </c>
      <c r="D985" s="409">
        <f>'2.2 OMATULUD'!B474</f>
        <v>329407</v>
      </c>
      <c r="E985" s="409"/>
      <c r="F985" s="409">
        <v>2950</v>
      </c>
      <c r="G985" s="409">
        <v>12220</v>
      </c>
      <c r="H985" s="409">
        <f t="shared" si="27"/>
        <v>344577</v>
      </c>
    </row>
    <row r="986" spans="1:8" x14ac:dyDescent="0.2">
      <c r="C986" s="111" t="s">
        <v>185</v>
      </c>
      <c r="D986" s="409">
        <f>D982-D985</f>
        <v>1485135</v>
      </c>
      <c r="E986" s="409">
        <f t="shared" ref="E986:G986" si="30">E982-E985</f>
        <v>8710</v>
      </c>
      <c r="F986" s="409">
        <f t="shared" si="30"/>
        <v>0</v>
      </c>
      <c r="G986" s="409">
        <f t="shared" si="30"/>
        <v>2437</v>
      </c>
      <c r="H986" s="409">
        <f t="shared" si="27"/>
        <v>1496282</v>
      </c>
    </row>
    <row r="987" spans="1:8" x14ac:dyDescent="0.2">
      <c r="C987" s="111"/>
      <c r="D987" s="409"/>
      <c r="E987" s="409"/>
      <c r="F987" s="409"/>
      <c r="G987" s="409"/>
      <c r="H987" s="409">
        <f t="shared" si="27"/>
        <v>0</v>
      </c>
    </row>
    <row r="988" spans="1:8" ht="15" x14ac:dyDescent="0.2">
      <c r="A988" s="6" t="s">
        <v>679</v>
      </c>
      <c r="B988" s="6" t="s">
        <v>282</v>
      </c>
      <c r="C988" s="158" t="s">
        <v>202</v>
      </c>
      <c r="D988" s="453">
        <f>D989</f>
        <v>81457</v>
      </c>
      <c r="E988" s="453"/>
      <c r="F988" s="453">
        <f>F989</f>
        <v>0</v>
      </c>
      <c r="G988" s="453">
        <f>G989</f>
        <v>3770</v>
      </c>
      <c r="H988" s="453">
        <f t="shared" si="27"/>
        <v>85227</v>
      </c>
    </row>
    <row r="989" spans="1:8" x14ac:dyDescent="0.2">
      <c r="C989" s="112" t="s">
        <v>648</v>
      </c>
      <c r="D989" s="283">
        <v>81457</v>
      </c>
      <c r="E989" s="283"/>
      <c r="F989" s="283"/>
      <c r="G989" s="283">
        <v>3770</v>
      </c>
      <c r="H989" s="283">
        <f t="shared" si="27"/>
        <v>85227</v>
      </c>
    </row>
    <row r="990" spans="1:8" x14ac:dyDescent="0.2">
      <c r="C990" s="98" t="s">
        <v>187</v>
      </c>
      <c r="D990" s="411">
        <v>40871</v>
      </c>
      <c r="E990" s="411"/>
      <c r="F990" s="411"/>
      <c r="G990" s="411"/>
      <c r="H990" s="411">
        <f t="shared" si="27"/>
        <v>40871</v>
      </c>
    </row>
    <row r="991" spans="1:8" x14ac:dyDescent="0.2">
      <c r="C991" s="151"/>
      <c r="D991" s="420"/>
      <c r="E991" s="420"/>
      <c r="F991" s="420"/>
      <c r="G991" s="420"/>
      <c r="H991" s="420">
        <f t="shared" si="27"/>
        <v>0</v>
      </c>
    </row>
    <row r="992" spans="1:8" ht="15" x14ac:dyDescent="0.2">
      <c r="A992" s="6" t="s">
        <v>681</v>
      </c>
      <c r="B992" s="6" t="s">
        <v>282</v>
      </c>
      <c r="C992" s="158" t="s">
        <v>211</v>
      </c>
      <c r="D992" s="453">
        <f>D993</f>
        <v>94353</v>
      </c>
      <c r="E992" s="453"/>
      <c r="F992" s="453">
        <f>F993</f>
        <v>0</v>
      </c>
      <c r="G992" s="453">
        <f>G993</f>
        <v>3111</v>
      </c>
      <c r="H992" s="453">
        <f t="shared" si="27"/>
        <v>97464</v>
      </c>
    </row>
    <row r="993" spans="1:8" x14ac:dyDescent="0.2">
      <c r="C993" s="112" t="s">
        <v>212</v>
      </c>
      <c r="D993" s="283">
        <f>D995</f>
        <v>94353</v>
      </c>
      <c r="E993" s="283"/>
      <c r="F993" s="283">
        <f>F995</f>
        <v>0</v>
      </c>
      <c r="G993" s="283">
        <f>G995</f>
        <v>3111</v>
      </c>
      <c r="H993" s="283">
        <f t="shared" si="27"/>
        <v>97464</v>
      </c>
    </row>
    <row r="994" spans="1:8" x14ac:dyDescent="0.2">
      <c r="C994" s="159" t="s">
        <v>194</v>
      </c>
      <c r="D994" s="421"/>
      <c r="E994" s="421"/>
      <c r="F994" s="421"/>
      <c r="G994" s="421"/>
      <c r="H994" s="421">
        <f t="shared" si="27"/>
        <v>0</v>
      </c>
    </row>
    <row r="995" spans="1:8" x14ac:dyDescent="0.2">
      <c r="C995" s="116" t="s">
        <v>649</v>
      </c>
      <c r="D995" s="419">
        <v>94353</v>
      </c>
      <c r="E995" s="419"/>
      <c r="F995" s="419"/>
      <c r="G995" s="419">
        <f>1800+1311</f>
        <v>3111</v>
      </c>
      <c r="H995" s="419">
        <f t="shared" ref="H995:H1058" si="31">SUM(D995:G995)</f>
        <v>97464</v>
      </c>
    </row>
    <row r="996" spans="1:8" x14ac:dyDescent="0.2">
      <c r="C996" s="160" t="s">
        <v>187</v>
      </c>
      <c r="D996" s="415">
        <v>50827</v>
      </c>
      <c r="E996" s="415"/>
      <c r="F996" s="415"/>
      <c r="G996" s="415">
        <v>980</v>
      </c>
      <c r="H996" s="415">
        <f t="shared" si="31"/>
        <v>51807</v>
      </c>
    </row>
    <row r="997" spans="1:8" x14ac:dyDescent="0.2">
      <c r="C997" s="141"/>
      <c r="D997" s="416"/>
      <c r="E997" s="416"/>
      <c r="F997" s="416"/>
      <c r="G997" s="416"/>
      <c r="H997" s="416">
        <f t="shared" si="31"/>
        <v>0</v>
      </c>
    </row>
    <row r="998" spans="1:8" ht="15" x14ac:dyDescent="0.2">
      <c r="A998" s="6" t="s">
        <v>682</v>
      </c>
      <c r="B998" s="6" t="s">
        <v>282</v>
      </c>
      <c r="C998" s="158" t="s">
        <v>217</v>
      </c>
      <c r="D998" s="453">
        <f>D999</f>
        <v>254447</v>
      </c>
      <c r="E998" s="453">
        <f t="shared" ref="E998:G998" si="32">E999</f>
        <v>8710</v>
      </c>
      <c r="F998" s="453">
        <f t="shared" si="32"/>
        <v>0</v>
      </c>
      <c r="G998" s="453">
        <f t="shared" si="32"/>
        <v>5300</v>
      </c>
      <c r="H998" s="453">
        <f t="shared" si="31"/>
        <v>268457</v>
      </c>
    </row>
    <row r="999" spans="1:8" ht="25.5" x14ac:dyDescent="0.2">
      <c r="C999" s="161" t="s">
        <v>283</v>
      </c>
      <c r="D999" s="441">
        <f>D1001+D1005</f>
        <v>254447</v>
      </c>
      <c r="E999" s="441">
        <f t="shared" ref="E999:G999" si="33">E1001+E1005</f>
        <v>8710</v>
      </c>
      <c r="F999" s="441">
        <f t="shared" si="33"/>
        <v>0</v>
      </c>
      <c r="G999" s="441">
        <f t="shared" si="33"/>
        <v>5300</v>
      </c>
      <c r="H999" s="441">
        <f t="shared" si="31"/>
        <v>268457</v>
      </c>
    </row>
    <row r="1000" spans="1:8" x14ac:dyDescent="0.2">
      <c r="C1000" s="162" t="s">
        <v>194</v>
      </c>
      <c r="D1000" s="408"/>
      <c r="E1000" s="408"/>
      <c r="F1000" s="408"/>
      <c r="G1000" s="408"/>
      <c r="H1000" s="408">
        <f t="shared" si="31"/>
        <v>0</v>
      </c>
    </row>
    <row r="1001" spans="1:8" x14ac:dyDescent="0.2">
      <c r="C1001" s="163" t="s">
        <v>535</v>
      </c>
      <c r="D1001" s="406">
        <v>144602</v>
      </c>
      <c r="E1001" s="406">
        <v>2923</v>
      </c>
      <c r="F1001" s="406"/>
      <c r="G1001" s="406">
        <v>5300</v>
      </c>
      <c r="H1001" s="406">
        <f t="shared" si="31"/>
        <v>152825</v>
      </c>
    </row>
    <row r="1002" spans="1:8" x14ac:dyDescent="0.2">
      <c r="C1002" s="103" t="s">
        <v>187</v>
      </c>
      <c r="D1002" s="411">
        <v>84270</v>
      </c>
      <c r="E1002" s="411">
        <v>2184</v>
      </c>
      <c r="F1002" s="411"/>
      <c r="G1002" s="411"/>
      <c r="H1002" s="411">
        <f t="shared" si="31"/>
        <v>86454</v>
      </c>
    </row>
    <row r="1003" spans="1:8" x14ac:dyDescent="0.2">
      <c r="C1003" s="141"/>
      <c r="D1003" s="416"/>
      <c r="E1003" s="416"/>
      <c r="F1003" s="416"/>
      <c r="G1003" s="416"/>
      <c r="H1003" s="416">
        <f t="shared" si="31"/>
        <v>0</v>
      </c>
    </row>
    <row r="1004" spans="1:8" x14ac:dyDescent="0.2">
      <c r="C1004" s="162" t="s">
        <v>194</v>
      </c>
      <c r="D1004" s="408"/>
      <c r="E1004" s="408"/>
      <c r="F1004" s="408"/>
      <c r="G1004" s="408"/>
      <c r="H1004" s="408">
        <f t="shared" si="31"/>
        <v>0</v>
      </c>
    </row>
    <row r="1005" spans="1:8" x14ac:dyDescent="0.2">
      <c r="C1005" s="163" t="s">
        <v>536</v>
      </c>
      <c r="D1005" s="406">
        <v>109845</v>
      </c>
      <c r="E1005" s="406">
        <v>5787</v>
      </c>
      <c r="F1005" s="406"/>
      <c r="G1005" s="406"/>
      <c r="H1005" s="406">
        <f t="shared" si="31"/>
        <v>115632</v>
      </c>
    </row>
    <row r="1006" spans="1:8" x14ac:dyDescent="0.2">
      <c r="C1006" s="103" t="s">
        <v>187</v>
      </c>
      <c r="D1006" s="411">
        <v>81125</v>
      </c>
      <c r="E1006" s="411">
        <v>4325</v>
      </c>
      <c r="F1006" s="411"/>
      <c r="G1006" s="411"/>
      <c r="H1006" s="411">
        <f t="shared" si="31"/>
        <v>85450</v>
      </c>
    </row>
    <row r="1007" spans="1:8" x14ac:dyDescent="0.2">
      <c r="C1007" s="254"/>
      <c r="D1007" s="436"/>
      <c r="E1007" s="436"/>
      <c r="F1007" s="436"/>
      <c r="G1007" s="436"/>
      <c r="H1007" s="436">
        <f t="shared" si="31"/>
        <v>0</v>
      </c>
    </row>
    <row r="1008" spans="1:8" ht="15" x14ac:dyDescent="0.2">
      <c r="A1008" s="6" t="s">
        <v>687</v>
      </c>
      <c r="B1008" s="6" t="s">
        <v>282</v>
      </c>
      <c r="C1008" s="158" t="s">
        <v>277</v>
      </c>
      <c r="D1008" s="453">
        <f>D1009</f>
        <v>136000</v>
      </c>
      <c r="E1008" s="453"/>
      <c r="F1008" s="453">
        <f>F1009</f>
        <v>0</v>
      </c>
      <c r="G1008" s="453">
        <f>G1009</f>
        <v>0</v>
      </c>
      <c r="H1008" s="453">
        <f t="shared" si="31"/>
        <v>136000</v>
      </c>
    </row>
    <row r="1009" spans="1:8" x14ac:dyDescent="0.2">
      <c r="C1009" s="112" t="s">
        <v>278</v>
      </c>
      <c r="D1009" s="283">
        <v>136000</v>
      </c>
      <c r="E1009" s="283"/>
      <c r="F1009" s="283"/>
      <c r="G1009" s="283"/>
      <c r="H1009" s="283">
        <f t="shared" si="31"/>
        <v>136000</v>
      </c>
    </row>
    <row r="1010" spans="1:8" x14ac:dyDescent="0.2">
      <c r="C1010" s="164"/>
      <c r="D1010" s="419"/>
      <c r="E1010" s="419"/>
      <c r="F1010" s="419"/>
      <c r="G1010" s="419"/>
      <c r="H1010" s="419">
        <f t="shared" si="31"/>
        <v>0</v>
      </c>
    </row>
    <row r="1011" spans="1:8" x14ac:dyDescent="0.2">
      <c r="C1011" s="166" t="s">
        <v>186</v>
      </c>
      <c r="D1011" s="447">
        <f>D1013+D1016+D1020+D1024+D1026+D1028+D1018+D1022</f>
        <v>1248285</v>
      </c>
      <c r="E1011" s="447"/>
      <c r="F1011" s="447">
        <f>F1013+F1016+F1020+F1024+F1026+F1028+F1018+F1022</f>
        <v>2950</v>
      </c>
      <c r="G1011" s="447">
        <f>G1013+G1016+G1020+G1024+G1026+G1028+G1018+G1022</f>
        <v>2476</v>
      </c>
      <c r="H1011" s="447">
        <f t="shared" si="31"/>
        <v>1253711</v>
      </c>
    </row>
    <row r="1012" spans="1:8" x14ac:dyDescent="0.2">
      <c r="C1012" s="166"/>
      <c r="D1012" s="447"/>
      <c r="E1012" s="447"/>
      <c r="F1012" s="447"/>
      <c r="G1012" s="447"/>
      <c r="H1012" s="447">
        <f t="shared" si="31"/>
        <v>0</v>
      </c>
    </row>
    <row r="1013" spans="1:8" x14ac:dyDescent="0.2">
      <c r="A1013" s="6" t="s">
        <v>676</v>
      </c>
      <c r="B1013" s="6" t="s">
        <v>282</v>
      </c>
      <c r="C1013" s="101" t="s">
        <v>284</v>
      </c>
      <c r="D1013" s="406">
        <v>906915</v>
      </c>
      <c r="E1013" s="406"/>
      <c r="F1013" s="406"/>
      <c r="G1013" s="406">
        <v>3636</v>
      </c>
      <c r="H1013" s="406">
        <f t="shared" si="31"/>
        <v>910551</v>
      </c>
    </row>
    <row r="1014" spans="1:8" x14ac:dyDescent="0.2">
      <c r="C1014" s="93" t="s">
        <v>187</v>
      </c>
      <c r="D1014" s="411">
        <v>567991</v>
      </c>
      <c r="E1014" s="411"/>
      <c r="F1014" s="411">
        <v>11220</v>
      </c>
      <c r="G1014" s="411"/>
      <c r="H1014" s="411">
        <f t="shared" si="31"/>
        <v>579211</v>
      </c>
    </row>
    <row r="1015" spans="1:8" x14ac:dyDescent="0.2">
      <c r="C1015" s="101"/>
      <c r="D1015" s="406"/>
      <c r="E1015" s="406"/>
      <c r="F1015" s="406"/>
      <c r="G1015" s="406"/>
      <c r="H1015" s="406">
        <f t="shared" si="31"/>
        <v>0</v>
      </c>
    </row>
    <row r="1016" spans="1:8" ht="25.5" x14ac:dyDescent="0.2">
      <c r="A1016" s="6" t="s">
        <v>679</v>
      </c>
      <c r="B1016" s="6" t="s">
        <v>282</v>
      </c>
      <c r="C1016" s="167" t="s">
        <v>864</v>
      </c>
      <c r="D1016" s="454">
        <v>46000</v>
      </c>
      <c r="E1016" s="454"/>
      <c r="F1016" s="454">
        <v>5000</v>
      </c>
      <c r="G1016" s="454"/>
      <c r="H1016" s="454">
        <f t="shared" si="31"/>
        <v>51000</v>
      </c>
    </row>
    <row r="1017" spans="1:8" x14ac:dyDescent="0.2">
      <c r="C1017" s="90"/>
      <c r="D1017" s="72"/>
      <c r="E1017" s="72"/>
      <c r="F1017" s="72"/>
      <c r="G1017" s="72"/>
      <c r="H1017" s="72">
        <f t="shared" si="31"/>
        <v>0</v>
      </c>
    </row>
    <row r="1018" spans="1:8" x14ac:dyDescent="0.2">
      <c r="A1018" s="6" t="s">
        <v>682</v>
      </c>
      <c r="B1018" s="6" t="s">
        <v>282</v>
      </c>
      <c r="C1018" s="104" t="s">
        <v>33</v>
      </c>
      <c r="D1018" s="417">
        <v>51070</v>
      </c>
      <c r="E1018" s="417"/>
      <c r="F1018" s="417"/>
      <c r="G1018" s="417"/>
      <c r="H1018" s="417">
        <f t="shared" si="31"/>
        <v>51070</v>
      </c>
    </row>
    <row r="1019" spans="1:8" x14ac:dyDescent="0.2">
      <c r="C1019" s="90"/>
      <c r="D1019" s="72"/>
      <c r="E1019" s="72"/>
      <c r="F1019" s="72"/>
      <c r="G1019" s="72"/>
      <c r="H1019" s="72">
        <f t="shared" si="31"/>
        <v>0</v>
      </c>
    </row>
    <row r="1020" spans="1:8" x14ac:dyDescent="0.2">
      <c r="A1020" s="6" t="s">
        <v>687</v>
      </c>
      <c r="B1020" s="6" t="s">
        <v>282</v>
      </c>
      <c r="C1020" s="104" t="s">
        <v>285</v>
      </c>
      <c r="D1020" s="417">
        <v>25000</v>
      </c>
      <c r="E1020" s="417"/>
      <c r="F1020" s="417"/>
      <c r="G1020" s="417">
        <v>3000</v>
      </c>
      <c r="H1020" s="417">
        <f t="shared" si="31"/>
        <v>28000</v>
      </c>
    </row>
    <row r="1021" spans="1:8" x14ac:dyDescent="0.2">
      <c r="C1021" s="104"/>
      <c r="D1021" s="417"/>
      <c r="E1021" s="417"/>
      <c r="F1021" s="417"/>
      <c r="G1021" s="417"/>
      <c r="H1021" s="417">
        <f t="shared" si="31"/>
        <v>0</v>
      </c>
    </row>
    <row r="1022" spans="1:8" x14ac:dyDescent="0.2">
      <c r="A1022" s="6" t="s">
        <v>687</v>
      </c>
      <c r="B1022" s="6" t="s">
        <v>282</v>
      </c>
      <c r="C1022" s="167" t="s">
        <v>464</v>
      </c>
      <c r="D1022" s="454">
        <v>30000</v>
      </c>
      <c r="E1022" s="454"/>
      <c r="F1022" s="454"/>
      <c r="G1022" s="454"/>
      <c r="H1022" s="454">
        <f t="shared" si="31"/>
        <v>30000</v>
      </c>
    </row>
    <row r="1023" spans="1:8" x14ac:dyDescent="0.2">
      <c r="C1023" s="104"/>
      <c r="D1023" s="417"/>
      <c r="E1023" s="417"/>
      <c r="F1023" s="417"/>
      <c r="G1023" s="417"/>
      <c r="H1023" s="417">
        <f t="shared" si="31"/>
        <v>0</v>
      </c>
    </row>
    <row r="1024" spans="1:8" x14ac:dyDescent="0.2">
      <c r="A1024" s="6" t="s">
        <v>683</v>
      </c>
      <c r="B1024" s="6" t="s">
        <v>282</v>
      </c>
      <c r="C1024" s="92" t="s">
        <v>288</v>
      </c>
      <c r="D1024" s="388">
        <v>54300</v>
      </c>
      <c r="E1024" s="388"/>
      <c r="F1024" s="388">
        <v>-2050</v>
      </c>
      <c r="G1024" s="388">
        <v>-5110</v>
      </c>
      <c r="H1024" s="388">
        <f t="shared" si="31"/>
        <v>47140</v>
      </c>
    </row>
    <row r="1025" spans="1:8" x14ac:dyDescent="0.2">
      <c r="C1025" s="99"/>
      <c r="D1025" s="71"/>
      <c r="E1025" s="71"/>
      <c r="F1025" s="71"/>
      <c r="G1025" s="71"/>
      <c r="H1025" s="71">
        <f t="shared" si="31"/>
        <v>0</v>
      </c>
    </row>
    <row r="1026" spans="1:8" x14ac:dyDescent="0.2">
      <c r="A1026" s="6" t="s">
        <v>683</v>
      </c>
      <c r="B1026" s="6" t="s">
        <v>282</v>
      </c>
      <c r="C1026" s="92" t="s">
        <v>289</v>
      </c>
      <c r="D1026" s="388">
        <v>116000</v>
      </c>
      <c r="E1026" s="388"/>
      <c r="F1026" s="388"/>
      <c r="G1026" s="388">
        <v>950</v>
      </c>
      <c r="H1026" s="388">
        <f t="shared" si="31"/>
        <v>116950</v>
      </c>
    </row>
    <row r="1027" spans="1:8" x14ac:dyDescent="0.2">
      <c r="C1027" s="148"/>
      <c r="D1027" s="409"/>
      <c r="E1027" s="409"/>
      <c r="F1027" s="409"/>
      <c r="G1027" s="409"/>
      <c r="H1027" s="409">
        <f t="shared" si="31"/>
        <v>0</v>
      </c>
    </row>
    <row r="1028" spans="1:8" x14ac:dyDescent="0.2">
      <c r="A1028" s="6" t="s">
        <v>692</v>
      </c>
      <c r="B1028" s="6" t="s">
        <v>282</v>
      </c>
      <c r="C1028" s="92" t="s">
        <v>27</v>
      </c>
      <c r="D1028" s="388">
        <v>19000</v>
      </c>
      <c r="E1028" s="388"/>
      <c r="F1028" s="388"/>
      <c r="G1028" s="388"/>
      <c r="H1028" s="388">
        <f t="shared" si="31"/>
        <v>19000</v>
      </c>
    </row>
    <row r="1029" spans="1:8" x14ac:dyDescent="0.2">
      <c r="C1029" s="96"/>
      <c r="D1029" s="72"/>
      <c r="E1029" s="72"/>
      <c r="F1029" s="72"/>
      <c r="G1029" s="72"/>
      <c r="H1029" s="72">
        <f t="shared" si="31"/>
        <v>0</v>
      </c>
    </row>
    <row r="1030" spans="1:8" x14ac:dyDescent="0.2">
      <c r="C1030" s="96"/>
      <c r="D1030" s="72"/>
      <c r="E1030" s="72"/>
      <c r="F1030" s="72"/>
      <c r="G1030" s="72"/>
      <c r="H1030" s="72">
        <f t="shared" si="31"/>
        <v>0</v>
      </c>
    </row>
    <row r="1031" spans="1:8" ht="15.75" x14ac:dyDescent="0.2">
      <c r="C1031" s="118" t="s">
        <v>286</v>
      </c>
      <c r="D1031" s="407"/>
      <c r="E1031" s="407"/>
      <c r="F1031" s="407"/>
      <c r="G1031" s="407"/>
      <c r="H1031" s="407">
        <f t="shared" si="31"/>
        <v>0</v>
      </c>
    </row>
    <row r="1032" spans="1:8" x14ac:dyDescent="0.2">
      <c r="C1032" s="96"/>
      <c r="D1032" s="72"/>
      <c r="E1032" s="72"/>
      <c r="F1032" s="72"/>
      <c r="G1032" s="72"/>
      <c r="H1032" s="72">
        <f t="shared" si="31"/>
        <v>0</v>
      </c>
    </row>
    <row r="1033" spans="1:8" x14ac:dyDescent="0.2">
      <c r="C1033" s="108" t="s">
        <v>182</v>
      </c>
      <c r="D1033" s="408">
        <f>D1049+D1059+D1063+D1039+D1043</f>
        <v>4900584</v>
      </c>
      <c r="E1033" s="408">
        <f t="shared" ref="E1033:G1033" si="34">E1049+E1059+E1063+E1039+E1043</f>
        <v>13825</v>
      </c>
      <c r="F1033" s="408">
        <f t="shared" si="34"/>
        <v>193684</v>
      </c>
      <c r="G1033" s="408">
        <f t="shared" si="34"/>
        <v>4821</v>
      </c>
      <c r="H1033" s="408">
        <f t="shared" si="31"/>
        <v>5112914</v>
      </c>
    </row>
    <row r="1034" spans="1:8" x14ac:dyDescent="0.2">
      <c r="C1034" s="79" t="s">
        <v>201</v>
      </c>
      <c r="D1034" s="409">
        <v>2276280</v>
      </c>
      <c r="E1034" s="409"/>
      <c r="F1034" s="409"/>
      <c r="G1034" s="409">
        <v>565277</v>
      </c>
      <c r="H1034" s="409">
        <f t="shared" si="31"/>
        <v>2841557</v>
      </c>
    </row>
    <row r="1035" spans="1:8" x14ac:dyDescent="0.2">
      <c r="C1035" s="109" t="s">
        <v>183</v>
      </c>
      <c r="D1035" s="386">
        <f>D1036+D1037</f>
        <v>4900584</v>
      </c>
      <c r="E1035" s="386">
        <f t="shared" ref="E1035:G1035" si="35">E1036+E1037</f>
        <v>13825</v>
      </c>
      <c r="F1035" s="386">
        <f t="shared" si="35"/>
        <v>193684</v>
      </c>
      <c r="G1035" s="386">
        <f t="shared" si="35"/>
        <v>4821</v>
      </c>
      <c r="H1035" s="386">
        <f t="shared" si="31"/>
        <v>5112914</v>
      </c>
    </row>
    <row r="1036" spans="1:8" x14ac:dyDescent="0.2">
      <c r="C1036" s="110" t="s">
        <v>184</v>
      </c>
      <c r="D1036" s="409">
        <f>'2.2 OMATULUD'!B506</f>
        <v>4409090</v>
      </c>
      <c r="E1036" s="409"/>
      <c r="F1036" s="409">
        <v>267450</v>
      </c>
      <c r="G1036" s="409">
        <v>-10867</v>
      </c>
      <c r="H1036" s="409">
        <f t="shared" si="31"/>
        <v>4665673</v>
      </c>
    </row>
    <row r="1037" spans="1:8" x14ac:dyDescent="0.2">
      <c r="C1037" s="111" t="s">
        <v>185</v>
      </c>
      <c r="D1037" s="409">
        <f>D1033-D1036</f>
        <v>491494</v>
      </c>
      <c r="E1037" s="409">
        <f t="shared" ref="E1037:G1037" si="36">E1033-E1036</f>
        <v>13825</v>
      </c>
      <c r="F1037" s="409">
        <f t="shared" si="36"/>
        <v>-73766</v>
      </c>
      <c r="G1037" s="409">
        <f t="shared" si="36"/>
        <v>15688</v>
      </c>
      <c r="H1037" s="409">
        <f t="shared" si="31"/>
        <v>447241</v>
      </c>
    </row>
    <row r="1038" spans="1:8" x14ac:dyDescent="0.2">
      <c r="C1038" s="111"/>
      <c r="D1038" s="409"/>
      <c r="E1038" s="409"/>
      <c r="F1038" s="409"/>
      <c r="G1038" s="409"/>
      <c r="H1038" s="409">
        <f t="shared" si="31"/>
        <v>0</v>
      </c>
    </row>
    <row r="1039" spans="1:8" ht="15" x14ac:dyDescent="0.2">
      <c r="A1039" s="6" t="s">
        <v>679</v>
      </c>
      <c r="B1039" s="6" t="s">
        <v>286</v>
      </c>
      <c r="C1039" s="158" t="s">
        <v>202</v>
      </c>
      <c r="D1039" s="453">
        <f>D1040</f>
        <v>140000</v>
      </c>
      <c r="E1039" s="453"/>
      <c r="F1039" s="453">
        <f>F1040</f>
        <v>23500</v>
      </c>
      <c r="G1039" s="453">
        <f>G1040</f>
        <v>7000</v>
      </c>
      <c r="H1039" s="453">
        <f t="shared" si="31"/>
        <v>170500</v>
      </c>
    </row>
    <row r="1040" spans="1:8" x14ac:dyDescent="0.2">
      <c r="C1040" s="112" t="s">
        <v>633</v>
      </c>
      <c r="D1040" s="283">
        <v>140000</v>
      </c>
      <c r="E1040" s="283"/>
      <c r="F1040" s="283">
        <v>23500</v>
      </c>
      <c r="G1040" s="283">
        <v>7000</v>
      </c>
      <c r="H1040" s="283">
        <f t="shared" si="31"/>
        <v>170500</v>
      </c>
    </row>
    <row r="1041" spans="1:8" x14ac:dyDescent="0.2">
      <c r="C1041" s="98" t="s">
        <v>187</v>
      </c>
      <c r="D1041" s="411">
        <v>68157</v>
      </c>
      <c r="E1041" s="411"/>
      <c r="F1041" s="411">
        <v>8142</v>
      </c>
      <c r="G1041" s="411"/>
      <c r="H1041" s="411">
        <f t="shared" si="31"/>
        <v>76299</v>
      </c>
    </row>
    <row r="1042" spans="1:8" x14ac:dyDescent="0.2">
      <c r="C1042" s="76"/>
      <c r="D1042" s="455"/>
      <c r="E1042" s="455"/>
      <c r="F1042" s="455"/>
      <c r="G1042" s="455"/>
      <c r="H1042" s="455">
        <f t="shared" si="31"/>
        <v>0</v>
      </c>
    </row>
    <row r="1043" spans="1:8" ht="15" x14ac:dyDescent="0.2">
      <c r="A1043" s="6" t="s">
        <v>681</v>
      </c>
      <c r="B1043" s="6" t="s">
        <v>286</v>
      </c>
      <c r="C1043" s="158" t="s">
        <v>211</v>
      </c>
      <c r="D1043" s="453">
        <f>D1044</f>
        <v>161880</v>
      </c>
      <c r="E1043" s="453"/>
      <c r="F1043" s="453">
        <f>F1044</f>
        <v>34146</v>
      </c>
      <c r="G1043" s="453">
        <f>G1044</f>
        <v>-3685</v>
      </c>
      <c r="H1043" s="453">
        <f t="shared" si="31"/>
        <v>192341</v>
      </c>
    </row>
    <row r="1044" spans="1:8" x14ac:dyDescent="0.2">
      <c r="C1044" s="161" t="s">
        <v>212</v>
      </c>
      <c r="D1044" s="441">
        <f>D1046</f>
        <v>161880</v>
      </c>
      <c r="E1044" s="441"/>
      <c r="F1044" s="441">
        <f>F1046</f>
        <v>34146</v>
      </c>
      <c r="G1044" s="441">
        <f>G1046</f>
        <v>-3685</v>
      </c>
      <c r="H1044" s="441">
        <f t="shared" si="31"/>
        <v>192341</v>
      </c>
    </row>
    <row r="1045" spans="1:8" x14ac:dyDescent="0.2">
      <c r="C1045" s="162" t="s">
        <v>194</v>
      </c>
      <c r="D1045" s="408"/>
      <c r="E1045" s="408"/>
      <c r="F1045" s="408"/>
      <c r="G1045" s="408"/>
      <c r="H1045" s="408">
        <f t="shared" si="31"/>
        <v>0</v>
      </c>
    </row>
    <row r="1046" spans="1:8" x14ac:dyDescent="0.2">
      <c r="C1046" s="163" t="s">
        <v>610</v>
      </c>
      <c r="D1046" s="406">
        <v>161880</v>
      </c>
      <c r="E1046" s="406"/>
      <c r="F1046" s="406">
        <v>34146</v>
      </c>
      <c r="G1046" s="406">
        <f>-6000+2315</f>
        <v>-3685</v>
      </c>
      <c r="H1046" s="406">
        <f t="shared" si="31"/>
        <v>192341</v>
      </c>
    </row>
    <row r="1047" spans="1:8" x14ac:dyDescent="0.2">
      <c r="C1047" s="103" t="s">
        <v>187</v>
      </c>
      <c r="D1047" s="411">
        <v>82190</v>
      </c>
      <c r="E1047" s="411"/>
      <c r="F1047" s="411">
        <v>7731</v>
      </c>
      <c r="G1047" s="411">
        <v>1730</v>
      </c>
      <c r="H1047" s="411">
        <f t="shared" si="31"/>
        <v>91651</v>
      </c>
    </row>
    <row r="1048" spans="1:8" x14ac:dyDescent="0.2">
      <c r="C1048" s="199"/>
      <c r="D1048" s="411"/>
      <c r="E1048" s="411"/>
      <c r="F1048" s="411"/>
      <c r="G1048" s="411"/>
      <c r="H1048" s="411">
        <f t="shared" si="31"/>
        <v>0</v>
      </c>
    </row>
    <row r="1049" spans="1:8" ht="15" x14ac:dyDescent="0.2">
      <c r="A1049" s="6" t="s">
        <v>682</v>
      </c>
      <c r="B1049" s="6" t="s">
        <v>286</v>
      </c>
      <c r="C1049" s="158" t="s">
        <v>217</v>
      </c>
      <c r="D1049" s="453">
        <f>D1050</f>
        <v>442000</v>
      </c>
      <c r="E1049" s="453">
        <f t="shared" ref="E1049:G1049" si="37">E1050</f>
        <v>13825</v>
      </c>
      <c r="F1049" s="453">
        <f t="shared" si="37"/>
        <v>0</v>
      </c>
      <c r="G1049" s="453">
        <f t="shared" si="37"/>
        <v>-17203</v>
      </c>
      <c r="H1049" s="453">
        <f t="shared" si="31"/>
        <v>438622</v>
      </c>
    </row>
    <row r="1050" spans="1:8" ht="25.5" x14ac:dyDescent="0.2">
      <c r="C1050" s="161" t="s">
        <v>283</v>
      </c>
      <c r="D1050" s="441">
        <f>D1052+D1056</f>
        <v>442000</v>
      </c>
      <c r="E1050" s="441">
        <f t="shared" ref="E1050:G1050" si="38">E1052+E1056</f>
        <v>13825</v>
      </c>
      <c r="F1050" s="441">
        <f t="shared" si="38"/>
        <v>0</v>
      </c>
      <c r="G1050" s="441">
        <f t="shared" si="38"/>
        <v>-17203</v>
      </c>
      <c r="H1050" s="441">
        <f t="shared" si="31"/>
        <v>438622</v>
      </c>
    </row>
    <row r="1051" spans="1:8" x14ac:dyDescent="0.2">
      <c r="C1051" s="162" t="s">
        <v>194</v>
      </c>
      <c r="D1051" s="408"/>
      <c r="E1051" s="408"/>
      <c r="F1051" s="408"/>
      <c r="G1051" s="408"/>
      <c r="H1051" s="408">
        <f t="shared" si="31"/>
        <v>0</v>
      </c>
    </row>
    <row r="1052" spans="1:8" x14ac:dyDescent="0.2">
      <c r="C1052" s="163" t="s">
        <v>537</v>
      </c>
      <c r="D1052" s="406">
        <v>241000</v>
      </c>
      <c r="E1052" s="406">
        <v>3645</v>
      </c>
      <c r="F1052" s="406">
        <v>-16522</v>
      </c>
      <c r="G1052" s="406">
        <v>-5000</v>
      </c>
      <c r="H1052" s="406">
        <f t="shared" si="31"/>
        <v>223123</v>
      </c>
    </row>
    <row r="1053" spans="1:8" x14ac:dyDescent="0.2">
      <c r="C1053" s="103" t="s">
        <v>187</v>
      </c>
      <c r="D1053" s="411">
        <v>117347</v>
      </c>
      <c r="E1053" s="411">
        <v>2724</v>
      </c>
      <c r="F1053" s="411">
        <v>-12348</v>
      </c>
      <c r="G1053" s="411"/>
      <c r="H1053" s="411">
        <f t="shared" si="31"/>
        <v>107723</v>
      </c>
    </row>
    <row r="1054" spans="1:8" x14ac:dyDescent="0.2">
      <c r="C1054" s="141"/>
      <c r="D1054" s="416"/>
      <c r="E1054" s="416"/>
      <c r="F1054" s="416"/>
      <c r="G1054" s="416"/>
      <c r="H1054" s="416">
        <f t="shared" si="31"/>
        <v>0</v>
      </c>
    </row>
    <row r="1055" spans="1:8" x14ac:dyDescent="0.2">
      <c r="C1055" s="162" t="s">
        <v>194</v>
      </c>
      <c r="D1055" s="408"/>
      <c r="E1055" s="408"/>
      <c r="F1055" s="408"/>
      <c r="G1055" s="408"/>
      <c r="H1055" s="408">
        <f t="shared" si="31"/>
        <v>0</v>
      </c>
    </row>
    <row r="1056" spans="1:8" x14ac:dyDescent="0.2">
      <c r="C1056" s="163" t="s">
        <v>538</v>
      </c>
      <c r="D1056" s="406">
        <v>201000</v>
      </c>
      <c r="E1056" s="406">
        <v>10180</v>
      </c>
      <c r="F1056" s="406">
        <v>16522</v>
      </c>
      <c r="G1056" s="406">
        <v>-12203</v>
      </c>
      <c r="H1056" s="406">
        <f t="shared" si="31"/>
        <v>215499</v>
      </c>
    </row>
    <row r="1057" spans="1:8" x14ac:dyDescent="0.2">
      <c r="C1057" s="103" t="s">
        <v>187</v>
      </c>
      <c r="D1057" s="411">
        <v>148982</v>
      </c>
      <c r="E1057" s="411">
        <v>7608</v>
      </c>
      <c r="F1057" s="411">
        <v>12348</v>
      </c>
      <c r="G1057" s="411">
        <v>-9120</v>
      </c>
      <c r="H1057" s="411">
        <f t="shared" si="31"/>
        <v>159818</v>
      </c>
    </row>
    <row r="1058" spans="1:8" x14ac:dyDescent="0.2">
      <c r="C1058" s="120"/>
      <c r="D1058" s="431"/>
      <c r="E1058" s="431"/>
      <c r="F1058" s="431"/>
      <c r="G1058" s="431"/>
      <c r="H1058" s="431">
        <f t="shared" si="31"/>
        <v>0</v>
      </c>
    </row>
    <row r="1059" spans="1:8" ht="15" x14ac:dyDescent="0.2">
      <c r="A1059" s="6" t="s">
        <v>687</v>
      </c>
      <c r="B1059" s="6" t="s">
        <v>286</v>
      </c>
      <c r="C1059" s="158" t="s">
        <v>277</v>
      </c>
      <c r="D1059" s="453">
        <f>D1060</f>
        <v>615000</v>
      </c>
      <c r="E1059" s="453"/>
      <c r="F1059" s="453">
        <f>F1060</f>
        <v>0</v>
      </c>
      <c r="G1059" s="453">
        <f>G1060</f>
        <v>-15000</v>
      </c>
      <c r="H1059" s="453">
        <f t="shared" ref="H1059:H1121" si="39">SUM(D1059:G1059)</f>
        <v>600000</v>
      </c>
    </row>
    <row r="1060" spans="1:8" x14ac:dyDescent="0.2">
      <c r="C1060" s="112" t="s">
        <v>278</v>
      </c>
      <c r="D1060" s="283">
        <v>615000</v>
      </c>
      <c r="E1060" s="283"/>
      <c r="F1060" s="283"/>
      <c r="G1060" s="283">
        <v>-15000</v>
      </c>
      <c r="H1060" s="283">
        <f t="shared" si="39"/>
        <v>600000</v>
      </c>
    </row>
    <row r="1061" spans="1:8" x14ac:dyDescent="0.2">
      <c r="C1061" s="98" t="s">
        <v>187</v>
      </c>
      <c r="D1061" s="411">
        <v>5400</v>
      </c>
      <c r="E1061" s="411"/>
      <c r="F1061" s="411"/>
      <c r="G1061" s="411"/>
      <c r="H1061" s="411">
        <f t="shared" si="39"/>
        <v>5400</v>
      </c>
    </row>
    <row r="1062" spans="1:8" x14ac:dyDescent="0.2">
      <c r="C1062" s="99"/>
      <c r="D1062" s="71"/>
      <c r="E1062" s="71"/>
      <c r="F1062" s="71"/>
      <c r="G1062" s="71"/>
      <c r="H1062" s="71">
        <f t="shared" si="39"/>
        <v>0</v>
      </c>
    </row>
    <row r="1063" spans="1:8" x14ac:dyDescent="0.2">
      <c r="C1063" s="166" t="s">
        <v>186</v>
      </c>
      <c r="D1063" s="447">
        <f>D1065+D1068+D1074+D1076+D1080+D1082+D1084+D1092+D1072+D1078+D1086+D1089</f>
        <v>3541704</v>
      </c>
      <c r="E1063" s="447"/>
      <c r="F1063" s="447">
        <f>F1065+F1068+F1074+F1076+F1080+F1082+F1084+F1092+F1072+F1078+F1086+F1089</f>
        <v>136038</v>
      </c>
      <c r="G1063" s="447">
        <f>G1065+G1068+G1074+G1076+G1080+G1082+G1084+G1092+G1072+G1078+G1086+G1089</f>
        <v>33709</v>
      </c>
      <c r="H1063" s="447">
        <f t="shared" si="39"/>
        <v>3711451</v>
      </c>
    </row>
    <row r="1064" spans="1:8" x14ac:dyDescent="0.2">
      <c r="C1064" s="166"/>
      <c r="D1064" s="447"/>
      <c r="E1064" s="447"/>
      <c r="F1064" s="447"/>
      <c r="G1064" s="447"/>
      <c r="H1064" s="447">
        <f t="shared" si="39"/>
        <v>0</v>
      </c>
    </row>
    <row r="1065" spans="1:8" x14ac:dyDescent="0.2">
      <c r="A1065" s="6" t="s">
        <v>676</v>
      </c>
      <c r="B1065" s="6" t="s">
        <v>286</v>
      </c>
      <c r="C1065" s="101" t="s">
        <v>284</v>
      </c>
      <c r="D1065" s="406">
        <f>2011030-1026</f>
        <v>2010004</v>
      </c>
      <c r="E1065" s="406"/>
      <c r="F1065" s="406">
        <v>20000</v>
      </c>
      <c r="G1065" s="406">
        <f>-10000-2386</f>
        <v>-12386</v>
      </c>
      <c r="H1065" s="406">
        <f t="shared" si="39"/>
        <v>2017618</v>
      </c>
    </row>
    <row r="1066" spans="1:8" x14ac:dyDescent="0.2">
      <c r="C1066" s="93" t="s">
        <v>187</v>
      </c>
      <c r="D1066" s="411">
        <f>1155264-766</f>
        <v>1154498</v>
      </c>
      <c r="E1066" s="411"/>
      <c r="F1066" s="411">
        <v>6380</v>
      </c>
      <c r="G1066" s="411">
        <v>-1783</v>
      </c>
      <c r="H1066" s="411">
        <f t="shared" si="39"/>
        <v>1159095</v>
      </c>
    </row>
    <row r="1067" spans="1:8" x14ac:dyDescent="0.2">
      <c r="C1067" s="148"/>
      <c r="D1067" s="409"/>
      <c r="E1067" s="409"/>
      <c r="F1067" s="409"/>
      <c r="G1067" s="409"/>
      <c r="H1067" s="409">
        <f t="shared" si="39"/>
        <v>0</v>
      </c>
    </row>
    <row r="1068" spans="1:8" ht="25.5" x14ac:dyDescent="0.2">
      <c r="A1068" s="6" t="s">
        <v>679</v>
      </c>
      <c r="B1068" s="6" t="s">
        <v>286</v>
      </c>
      <c r="C1068" s="167" t="s">
        <v>864</v>
      </c>
      <c r="D1068" s="454">
        <v>325000</v>
      </c>
      <c r="E1068" s="454"/>
      <c r="F1068" s="454">
        <v>23000</v>
      </c>
      <c r="G1068" s="454">
        <v>69000</v>
      </c>
      <c r="H1068" s="454">
        <f t="shared" si="39"/>
        <v>417000</v>
      </c>
    </row>
    <row r="1069" spans="1:8" x14ac:dyDescent="0.2">
      <c r="C1069" s="137" t="s">
        <v>465</v>
      </c>
      <c r="D1069" s="437">
        <v>210000</v>
      </c>
      <c r="E1069" s="437"/>
      <c r="F1069" s="437"/>
      <c r="G1069" s="437"/>
      <c r="H1069" s="437">
        <f t="shared" si="39"/>
        <v>210000</v>
      </c>
    </row>
    <row r="1070" spans="1:8" x14ac:dyDescent="0.2">
      <c r="C1070" s="102" t="s">
        <v>187</v>
      </c>
      <c r="D1070" s="415">
        <v>12800</v>
      </c>
      <c r="E1070" s="415"/>
      <c r="F1070" s="415"/>
      <c r="G1070" s="415"/>
      <c r="H1070" s="415">
        <f t="shared" si="39"/>
        <v>12800</v>
      </c>
    </row>
    <row r="1071" spans="1:8" x14ac:dyDescent="0.2">
      <c r="C1071" s="102"/>
      <c r="D1071" s="415"/>
      <c r="E1071" s="415"/>
      <c r="F1071" s="415"/>
      <c r="G1071" s="415"/>
      <c r="H1071" s="415">
        <f t="shared" si="39"/>
        <v>0</v>
      </c>
    </row>
    <row r="1072" spans="1:8" x14ac:dyDescent="0.2">
      <c r="A1072" s="6" t="s">
        <v>682</v>
      </c>
      <c r="B1072" s="6" t="s">
        <v>286</v>
      </c>
      <c r="C1072" s="167" t="s">
        <v>33</v>
      </c>
      <c r="D1072" s="454">
        <v>58000</v>
      </c>
      <c r="E1072" s="454"/>
      <c r="F1072" s="454"/>
      <c r="G1072" s="454"/>
      <c r="H1072" s="454">
        <f t="shared" si="39"/>
        <v>58000</v>
      </c>
    </row>
    <row r="1073" spans="1:8" x14ac:dyDescent="0.2">
      <c r="C1073" s="90"/>
      <c r="D1073" s="72"/>
      <c r="E1073" s="72"/>
      <c r="F1073" s="72"/>
      <c r="G1073" s="72"/>
      <c r="H1073" s="72">
        <f t="shared" si="39"/>
        <v>0</v>
      </c>
    </row>
    <row r="1074" spans="1:8" x14ac:dyDescent="0.2">
      <c r="A1074" s="6" t="s">
        <v>682</v>
      </c>
      <c r="B1074" s="6" t="s">
        <v>286</v>
      </c>
      <c r="C1074" s="90" t="s">
        <v>29</v>
      </c>
      <c r="D1074" s="72">
        <v>3500</v>
      </c>
      <c r="E1074" s="72"/>
      <c r="F1074" s="72"/>
      <c r="G1074" s="72"/>
      <c r="H1074" s="72">
        <f t="shared" si="39"/>
        <v>3500</v>
      </c>
    </row>
    <row r="1075" spans="1:8" x14ac:dyDescent="0.2">
      <c r="C1075" s="148"/>
      <c r="D1075" s="409"/>
      <c r="E1075" s="409"/>
      <c r="F1075" s="409"/>
      <c r="G1075" s="409"/>
      <c r="H1075" s="409">
        <f t="shared" si="39"/>
        <v>0</v>
      </c>
    </row>
    <row r="1076" spans="1:8" x14ac:dyDescent="0.2">
      <c r="A1076" s="6" t="s">
        <v>687</v>
      </c>
      <c r="B1076" s="6" t="s">
        <v>286</v>
      </c>
      <c r="C1076" s="104" t="s">
        <v>285</v>
      </c>
      <c r="D1076" s="417">
        <v>173000</v>
      </c>
      <c r="E1076" s="417"/>
      <c r="F1076" s="417">
        <v>14000</v>
      </c>
      <c r="G1076" s="417"/>
      <c r="H1076" s="417">
        <f t="shared" si="39"/>
        <v>187000</v>
      </c>
    </row>
    <row r="1077" spans="1:8" x14ac:dyDescent="0.2">
      <c r="C1077" s="104"/>
      <c r="D1077" s="417"/>
      <c r="E1077" s="417"/>
      <c r="F1077" s="417"/>
      <c r="G1077" s="417"/>
      <c r="H1077" s="417">
        <f t="shared" si="39"/>
        <v>0</v>
      </c>
    </row>
    <row r="1078" spans="1:8" x14ac:dyDescent="0.2">
      <c r="A1078" s="6" t="s">
        <v>687</v>
      </c>
      <c r="B1078" s="6" t="s">
        <v>286</v>
      </c>
      <c r="C1078" s="167" t="s">
        <v>464</v>
      </c>
      <c r="D1078" s="454">
        <v>17800</v>
      </c>
      <c r="E1078" s="454"/>
      <c r="F1078" s="454"/>
      <c r="G1078" s="454">
        <v>1700</v>
      </c>
      <c r="H1078" s="454">
        <f t="shared" si="39"/>
        <v>19500</v>
      </c>
    </row>
    <row r="1079" spans="1:8" x14ac:dyDescent="0.2">
      <c r="C1079" s="104"/>
      <c r="D1079" s="417"/>
      <c r="E1079" s="417"/>
      <c r="F1079" s="417"/>
      <c r="G1079" s="417"/>
      <c r="H1079" s="417">
        <f t="shared" si="39"/>
        <v>0</v>
      </c>
    </row>
    <row r="1080" spans="1:8" x14ac:dyDescent="0.2">
      <c r="A1080" s="6" t="s">
        <v>683</v>
      </c>
      <c r="B1080" s="6" t="s">
        <v>286</v>
      </c>
      <c r="C1080" s="92" t="s">
        <v>288</v>
      </c>
      <c r="D1080" s="388">
        <v>70000</v>
      </c>
      <c r="E1080" s="388"/>
      <c r="F1080" s="388"/>
      <c r="G1080" s="388">
        <v>-15000</v>
      </c>
      <c r="H1080" s="388">
        <f t="shared" si="39"/>
        <v>55000</v>
      </c>
    </row>
    <row r="1081" spans="1:8" x14ac:dyDescent="0.2">
      <c r="C1081" s="99"/>
      <c r="D1081" s="71"/>
      <c r="E1081" s="71"/>
      <c r="F1081" s="71"/>
      <c r="G1081" s="71"/>
      <c r="H1081" s="71">
        <f t="shared" si="39"/>
        <v>0</v>
      </c>
    </row>
    <row r="1082" spans="1:8" x14ac:dyDescent="0.2">
      <c r="A1082" s="6" t="s">
        <v>683</v>
      </c>
      <c r="B1082" s="6" t="s">
        <v>286</v>
      </c>
      <c r="C1082" s="92" t="s">
        <v>289</v>
      </c>
      <c r="D1082" s="388">
        <v>440500</v>
      </c>
      <c r="E1082" s="388"/>
      <c r="F1082" s="388"/>
      <c r="G1082" s="388">
        <v>-17000</v>
      </c>
      <c r="H1082" s="388">
        <f t="shared" si="39"/>
        <v>423500</v>
      </c>
    </row>
    <row r="1083" spans="1:8" x14ac:dyDescent="0.2">
      <c r="C1083" s="90"/>
      <c r="D1083" s="72"/>
      <c r="E1083" s="72"/>
      <c r="F1083" s="72"/>
      <c r="G1083" s="72"/>
      <c r="H1083" s="72">
        <f t="shared" si="39"/>
        <v>0</v>
      </c>
    </row>
    <row r="1084" spans="1:8" x14ac:dyDescent="0.2">
      <c r="A1084" s="6" t="s">
        <v>677</v>
      </c>
      <c r="B1084" s="6" t="s">
        <v>286</v>
      </c>
      <c r="C1084" s="104" t="s">
        <v>50</v>
      </c>
      <c r="D1084" s="417">
        <v>9000</v>
      </c>
      <c r="E1084" s="417"/>
      <c r="F1084" s="417"/>
      <c r="G1084" s="417"/>
      <c r="H1084" s="417">
        <f t="shared" si="39"/>
        <v>9000</v>
      </c>
    </row>
    <row r="1085" spans="1:8" x14ac:dyDescent="0.2">
      <c r="C1085" s="104"/>
      <c r="D1085" s="417"/>
      <c r="E1085" s="417"/>
      <c r="F1085" s="417"/>
      <c r="G1085" s="417"/>
      <c r="H1085" s="417">
        <f t="shared" si="39"/>
        <v>0</v>
      </c>
    </row>
    <row r="1086" spans="1:8" x14ac:dyDescent="0.2">
      <c r="A1086" s="6" t="s">
        <v>683</v>
      </c>
      <c r="B1086" s="6" t="s">
        <v>286</v>
      </c>
      <c r="C1086" s="104" t="s">
        <v>559</v>
      </c>
      <c r="D1086" s="417">
        <f>295000+15000</f>
        <v>310000</v>
      </c>
      <c r="E1086" s="417"/>
      <c r="F1086" s="417">
        <v>59544</v>
      </c>
      <c r="G1086" s="417">
        <f>1862+15759</f>
        <v>17621</v>
      </c>
      <c r="H1086" s="417">
        <f t="shared" si="39"/>
        <v>387165</v>
      </c>
    </row>
    <row r="1087" spans="1:8" x14ac:dyDescent="0.2">
      <c r="C1087" s="102" t="s">
        <v>187</v>
      </c>
      <c r="D1087" s="415">
        <v>91539</v>
      </c>
      <c r="E1087" s="415"/>
      <c r="F1087" s="415">
        <v>-2583</v>
      </c>
      <c r="G1087" s="415">
        <v>1391</v>
      </c>
      <c r="H1087" s="415">
        <f t="shared" si="39"/>
        <v>90347</v>
      </c>
    </row>
    <row r="1088" spans="1:8" x14ac:dyDescent="0.2">
      <c r="C1088" s="122"/>
      <c r="D1088" s="434"/>
      <c r="E1088" s="434"/>
      <c r="F1088" s="434"/>
      <c r="G1088" s="434"/>
      <c r="H1088" s="434">
        <f t="shared" si="39"/>
        <v>0</v>
      </c>
    </row>
    <row r="1089" spans="1:8" x14ac:dyDescent="0.2">
      <c r="A1089" s="6" t="s">
        <v>679</v>
      </c>
      <c r="B1089" s="6" t="s">
        <v>286</v>
      </c>
      <c r="C1089" s="104" t="s">
        <v>467</v>
      </c>
      <c r="D1089" s="417">
        <v>70000</v>
      </c>
      <c r="E1089" s="417"/>
      <c r="F1089" s="417">
        <v>19494</v>
      </c>
      <c r="G1089" s="417">
        <v>4774</v>
      </c>
      <c r="H1089" s="417">
        <f t="shared" si="39"/>
        <v>94268</v>
      </c>
    </row>
    <row r="1090" spans="1:8" x14ac:dyDescent="0.2">
      <c r="C1090" s="102" t="s">
        <v>187</v>
      </c>
      <c r="D1090" s="415">
        <v>29232</v>
      </c>
      <c r="E1090" s="415"/>
      <c r="F1090" s="415">
        <v>2394</v>
      </c>
      <c r="G1090" s="415">
        <v>691</v>
      </c>
      <c r="H1090" s="415">
        <f t="shared" si="39"/>
        <v>32317</v>
      </c>
    </row>
    <row r="1091" spans="1:8" x14ac:dyDescent="0.2">
      <c r="C1091" s="148"/>
      <c r="D1091" s="409"/>
      <c r="E1091" s="409"/>
      <c r="F1091" s="409"/>
      <c r="G1091" s="409"/>
      <c r="H1091" s="409">
        <f t="shared" si="39"/>
        <v>0</v>
      </c>
    </row>
    <row r="1092" spans="1:8" x14ac:dyDescent="0.2">
      <c r="A1092" s="6" t="s">
        <v>692</v>
      </c>
      <c r="B1092" s="6" t="s">
        <v>286</v>
      </c>
      <c r="C1092" s="92" t="s">
        <v>27</v>
      </c>
      <c r="D1092" s="388">
        <v>54900</v>
      </c>
      <c r="E1092" s="388"/>
      <c r="F1092" s="388"/>
      <c r="G1092" s="388">
        <v>-15000</v>
      </c>
      <c r="H1092" s="388">
        <f t="shared" si="39"/>
        <v>39900</v>
      </c>
    </row>
    <row r="1093" spans="1:8" x14ac:dyDescent="0.2">
      <c r="C1093" s="96"/>
      <c r="D1093" s="72"/>
      <c r="E1093" s="72"/>
      <c r="F1093" s="72"/>
      <c r="G1093" s="72"/>
      <c r="H1093" s="72">
        <f t="shared" si="39"/>
        <v>0</v>
      </c>
    </row>
    <row r="1094" spans="1:8" x14ac:dyDescent="0.2">
      <c r="C1094" s="96"/>
      <c r="D1094" s="72"/>
      <c r="E1094" s="72"/>
      <c r="F1094" s="72"/>
      <c r="G1094" s="72"/>
      <c r="H1094" s="72">
        <f t="shared" si="39"/>
        <v>0</v>
      </c>
    </row>
    <row r="1095" spans="1:8" ht="15.75" x14ac:dyDescent="0.2">
      <c r="C1095" s="118" t="s">
        <v>290</v>
      </c>
      <c r="D1095" s="407"/>
      <c r="E1095" s="407"/>
      <c r="F1095" s="407"/>
      <c r="G1095" s="407"/>
      <c r="H1095" s="407">
        <f t="shared" si="39"/>
        <v>0</v>
      </c>
    </row>
    <row r="1096" spans="1:8" x14ac:dyDescent="0.2">
      <c r="C1096" s="96"/>
      <c r="D1096" s="72"/>
      <c r="E1096" s="72"/>
      <c r="F1096" s="72"/>
      <c r="G1096" s="72"/>
      <c r="H1096" s="72">
        <f t="shared" si="39"/>
        <v>0</v>
      </c>
    </row>
    <row r="1097" spans="1:8" x14ac:dyDescent="0.2">
      <c r="C1097" s="108" t="s">
        <v>182</v>
      </c>
      <c r="D1097" s="408">
        <f>D1103+D1113+D1116</f>
        <v>1761868</v>
      </c>
      <c r="E1097" s="408">
        <f t="shared" ref="E1097:G1097" si="40">E1103+E1113+E1116</f>
        <v>15326</v>
      </c>
      <c r="F1097" s="408">
        <f t="shared" si="40"/>
        <v>-29462</v>
      </c>
      <c r="G1097" s="408">
        <f t="shared" si="40"/>
        <v>-9425</v>
      </c>
      <c r="H1097" s="408">
        <f t="shared" si="39"/>
        <v>1738307</v>
      </c>
    </row>
    <row r="1098" spans="1:8" x14ac:dyDescent="0.2">
      <c r="C1098" s="79" t="s">
        <v>201</v>
      </c>
      <c r="D1098" s="409">
        <v>104030</v>
      </c>
      <c r="E1098" s="409"/>
      <c r="F1098" s="409"/>
      <c r="G1098" s="409">
        <v>10975</v>
      </c>
      <c r="H1098" s="409">
        <f t="shared" si="39"/>
        <v>115005</v>
      </c>
    </row>
    <row r="1099" spans="1:8" x14ac:dyDescent="0.2">
      <c r="C1099" s="109" t="s">
        <v>183</v>
      </c>
      <c r="D1099" s="386">
        <f>D1100+D1101</f>
        <v>1761868</v>
      </c>
      <c r="E1099" s="386">
        <f t="shared" ref="E1099:G1099" si="41">E1100+E1101</f>
        <v>15326</v>
      </c>
      <c r="F1099" s="386">
        <f t="shared" si="41"/>
        <v>-29462</v>
      </c>
      <c r="G1099" s="386">
        <f t="shared" si="41"/>
        <v>-9425</v>
      </c>
      <c r="H1099" s="386">
        <f t="shared" si="39"/>
        <v>1738307</v>
      </c>
    </row>
    <row r="1100" spans="1:8" x14ac:dyDescent="0.2">
      <c r="C1100" s="110" t="s">
        <v>184</v>
      </c>
      <c r="D1100" s="409">
        <f>'2.2 OMATULUD'!B553</f>
        <v>285462</v>
      </c>
      <c r="E1100" s="409"/>
      <c r="F1100" s="409">
        <v>-29462</v>
      </c>
      <c r="G1100" s="409">
        <v>-6655</v>
      </c>
      <c r="H1100" s="409">
        <f t="shared" si="39"/>
        <v>249345</v>
      </c>
    </row>
    <row r="1101" spans="1:8" x14ac:dyDescent="0.2">
      <c r="C1101" s="111" t="s">
        <v>185</v>
      </c>
      <c r="D1101" s="409">
        <f>D1097-D1100</f>
        <v>1476406</v>
      </c>
      <c r="E1101" s="409">
        <f t="shared" ref="E1101:G1101" si="42">E1097-E1100</f>
        <v>15326</v>
      </c>
      <c r="F1101" s="409">
        <f t="shared" si="42"/>
        <v>0</v>
      </c>
      <c r="G1101" s="409">
        <f t="shared" si="42"/>
        <v>-2770</v>
      </c>
      <c r="H1101" s="409">
        <f t="shared" si="39"/>
        <v>1488962</v>
      </c>
    </row>
    <row r="1102" spans="1:8" x14ac:dyDescent="0.2">
      <c r="C1102" s="111"/>
      <c r="D1102" s="409"/>
      <c r="E1102" s="409"/>
      <c r="F1102" s="409"/>
      <c r="G1102" s="409"/>
      <c r="H1102" s="409">
        <f t="shared" si="39"/>
        <v>0</v>
      </c>
    </row>
    <row r="1103" spans="1:8" ht="15" x14ac:dyDescent="0.2">
      <c r="A1103" s="6" t="s">
        <v>682</v>
      </c>
      <c r="B1103" s="6" t="s">
        <v>290</v>
      </c>
      <c r="C1103" s="158" t="s">
        <v>217</v>
      </c>
      <c r="D1103" s="453">
        <f>D1104</f>
        <v>433912</v>
      </c>
      <c r="E1103" s="453">
        <f t="shared" ref="E1103:G1103" si="43">E1104</f>
        <v>15326</v>
      </c>
      <c r="F1103" s="453">
        <f t="shared" si="43"/>
        <v>-1500</v>
      </c>
      <c r="G1103" s="453">
        <f t="shared" si="43"/>
        <v>-50</v>
      </c>
      <c r="H1103" s="453">
        <f t="shared" si="39"/>
        <v>447688</v>
      </c>
    </row>
    <row r="1104" spans="1:8" ht="25.5" x14ac:dyDescent="0.2">
      <c r="C1104" s="161" t="s">
        <v>283</v>
      </c>
      <c r="D1104" s="441">
        <f>D1106+D1110</f>
        <v>433912</v>
      </c>
      <c r="E1104" s="441">
        <f t="shared" ref="E1104:G1104" si="44">E1106+E1110</f>
        <v>15326</v>
      </c>
      <c r="F1104" s="441">
        <f t="shared" si="44"/>
        <v>-1500</v>
      </c>
      <c r="G1104" s="441">
        <f t="shared" si="44"/>
        <v>-50</v>
      </c>
      <c r="H1104" s="441">
        <f t="shared" si="39"/>
        <v>447688</v>
      </c>
    </row>
    <row r="1105" spans="1:8" x14ac:dyDescent="0.2">
      <c r="C1105" s="162" t="s">
        <v>194</v>
      </c>
      <c r="D1105" s="408"/>
      <c r="E1105" s="408"/>
      <c r="F1105" s="408"/>
      <c r="G1105" s="408"/>
      <c r="H1105" s="408">
        <f t="shared" si="39"/>
        <v>0</v>
      </c>
    </row>
    <row r="1106" spans="1:8" x14ac:dyDescent="0.2">
      <c r="C1106" s="163" t="s">
        <v>539</v>
      </c>
      <c r="D1106" s="406">
        <v>164644</v>
      </c>
      <c r="E1106" s="406">
        <v>5315</v>
      </c>
      <c r="F1106" s="406">
        <v>-1500</v>
      </c>
      <c r="G1106" s="406">
        <v>-1000</v>
      </c>
      <c r="H1106" s="406">
        <f t="shared" si="39"/>
        <v>167459</v>
      </c>
    </row>
    <row r="1107" spans="1:8" x14ac:dyDescent="0.2">
      <c r="C1107" s="103" t="s">
        <v>187</v>
      </c>
      <c r="D1107" s="411">
        <v>89841</v>
      </c>
      <c r="E1107" s="411">
        <v>3972</v>
      </c>
      <c r="F1107" s="411"/>
      <c r="G1107" s="411"/>
      <c r="H1107" s="411">
        <f t="shared" si="39"/>
        <v>93813</v>
      </c>
    </row>
    <row r="1108" spans="1:8" x14ac:dyDescent="0.2">
      <c r="C1108" s="141"/>
      <c r="D1108" s="416"/>
      <c r="E1108" s="416"/>
      <c r="F1108" s="416"/>
      <c r="G1108" s="416"/>
      <c r="H1108" s="416">
        <f t="shared" si="39"/>
        <v>0</v>
      </c>
    </row>
    <row r="1109" spans="1:8" x14ac:dyDescent="0.2">
      <c r="C1109" s="162" t="s">
        <v>194</v>
      </c>
      <c r="D1109" s="408"/>
      <c r="E1109" s="408"/>
      <c r="F1109" s="408"/>
      <c r="G1109" s="408"/>
      <c r="H1109" s="408">
        <f t="shared" si="39"/>
        <v>0</v>
      </c>
    </row>
    <row r="1110" spans="1:8" x14ac:dyDescent="0.2">
      <c r="C1110" s="163" t="s">
        <v>540</v>
      </c>
      <c r="D1110" s="406">
        <v>269268</v>
      </c>
      <c r="E1110" s="406">
        <v>10011</v>
      </c>
      <c r="F1110" s="406"/>
      <c r="G1110" s="406">
        <v>950</v>
      </c>
      <c r="H1110" s="406">
        <f t="shared" si="39"/>
        <v>280229</v>
      </c>
    </row>
    <row r="1111" spans="1:8" x14ac:dyDescent="0.2">
      <c r="C1111" s="103" t="s">
        <v>187</v>
      </c>
      <c r="D1111" s="411">
        <v>187905</v>
      </c>
      <c r="E1111" s="411">
        <v>7482</v>
      </c>
      <c r="F1111" s="411"/>
      <c r="G1111" s="411"/>
      <c r="H1111" s="411">
        <f t="shared" si="39"/>
        <v>195387</v>
      </c>
    </row>
    <row r="1112" spans="1:8" x14ac:dyDescent="0.2">
      <c r="C1112" s="141"/>
      <c r="D1112" s="416"/>
      <c r="E1112" s="416"/>
      <c r="F1112" s="416"/>
      <c r="G1112" s="416"/>
      <c r="H1112" s="416">
        <f t="shared" si="39"/>
        <v>0</v>
      </c>
    </row>
    <row r="1113" spans="1:8" ht="15" x14ac:dyDescent="0.2">
      <c r="A1113" s="6" t="s">
        <v>687</v>
      </c>
      <c r="B1113" s="6" t="s">
        <v>290</v>
      </c>
      <c r="C1113" s="158" t="s">
        <v>277</v>
      </c>
      <c r="D1113" s="453">
        <f>D1114</f>
        <v>80000</v>
      </c>
      <c r="E1113" s="453"/>
      <c r="F1113" s="453">
        <f>F1114</f>
        <v>0</v>
      </c>
      <c r="G1113" s="453">
        <f>G1114</f>
        <v>-10000</v>
      </c>
      <c r="H1113" s="453">
        <f t="shared" si="39"/>
        <v>70000</v>
      </c>
    </row>
    <row r="1114" spans="1:8" x14ac:dyDescent="0.2">
      <c r="C1114" s="112" t="s">
        <v>278</v>
      </c>
      <c r="D1114" s="283">
        <v>80000</v>
      </c>
      <c r="E1114" s="283"/>
      <c r="F1114" s="283"/>
      <c r="G1114" s="283">
        <v>-10000</v>
      </c>
      <c r="H1114" s="283">
        <f t="shared" si="39"/>
        <v>70000</v>
      </c>
    </row>
    <row r="1115" spans="1:8" x14ac:dyDescent="0.2">
      <c r="C1115" s="111"/>
      <c r="D1115" s="409"/>
      <c r="E1115" s="409"/>
      <c r="F1115" s="409"/>
      <c r="G1115" s="409"/>
      <c r="H1115" s="409">
        <f t="shared" si="39"/>
        <v>0</v>
      </c>
    </row>
    <row r="1116" spans="1:8" x14ac:dyDescent="0.2">
      <c r="C1116" s="166" t="s">
        <v>186</v>
      </c>
      <c r="D1116" s="447">
        <f>D1118+D1121+D1125+D1127+D1129+D1133+D1131+D1123</f>
        <v>1247956</v>
      </c>
      <c r="E1116" s="447"/>
      <c r="F1116" s="447">
        <f>F1118+F1121+F1125+F1127+F1129+F1133+F1131+F1123</f>
        <v>-27962</v>
      </c>
      <c r="G1116" s="447">
        <f>G1118+G1121+G1125+G1127+G1129+G1133+G1131+G1123</f>
        <v>625</v>
      </c>
      <c r="H1116" s="447">
        <f t="shared" si="39"/>
        <v>1220619</v>
      </c>
    </row>
    <row r="1117" spans="1:8" x14ac:dyDescent="0.2">
      <c r="C1117" s="166"/>
      <c r="D1117" s="447"/>
      <c r="E1117" s="447"/>
      <c r="F1117" s="447"/>
      <c r="G1117" s="447"/>
      <c r="H1117" s="447">
        <f t="shared" si="39"/>
        <v>0</v>
      </c>
    </row>
    <row r="1118" spans="1:8" x14ac:dyDescent="0.2">
      <c r="A1118" s="6" t="s">
        <v>676</v>
      </c>
      <c r="B1118" s="6" t="s">
        <v>290</v>
      </c>
      <c r="C1118" s="101" t="s">
        <v>284</v>
      </c>
      <c r="D1118" s="406">
        <f>1050994+6842</f>
        <v>1057836</v>
      </c>
      <c r="E1118" s="406"/>
      <c r="F1118" s="406">
        <v>-6842</v>
      </c>
      <c r="G1118" s="406">
        <v>-2770</v>
      </c>
      <c r="H1118" s="406">
        <f t="shared" si="39"/>
        <v>1048224</v>
      </c>
    </row>
    <row r="1119" spans="1:8" x14ac:dyDescent="0.2">
      <c r="C1119" s="93" t="s">
        <v>187</v>
      </c>
      <c r="D1119" s="411">
        <f>657816</f>
        <v>657816</v>
      </c>
      <c r="E1119" s="411"/>
      <c r="F1119" s="411"/>
      <c r="G1119" s="411">
        <f>5805-2070</f>
        <v>3735</v>
      </c>
      <c r="H1119" s="411">
        <f t="shared" si="39"/>
        <v>661551</v>
      </c>
    </row>
    <row r="1120" spans="1:8" x14ac:dyDescent="0.2">
      <c r="C1120" s="148"/>
      <c r="D1120" s="409"/>
      <c r="E1120" s="409"/>
      <c r="F1120" s="409"/>
      <c r="G1120" s="409"/>
      <c r="H1120" s="409">
        <f t="shared" si="39"/>
        <v>0</v>
      </c>
    </row>
    <row r="1121" spans="1:8" ht="25.5" x14ac:dyDescent="0.2">
      <c r="A1121" s="6" t="s">
        <v>679</v>
      </c>
      <c r="B1121" s="6" t="s">
        <v>290</v>
      </c>
      <c r="C1121" s="167" t="s">
        <v>864</v>
      </c>
      <c r="D1121" s="454">
        <f>40000+7000</f>
        <v>47000</v>
      </c>
      <c r="E1121" s="454"/>
      <c r="F1121" s="454"/>
      <c r="G1121" s="454">
        <v>7500</v>
      </c>
      <c r="H1121" s="454">
        <f t="shared" si="39"/>
        <v>54500</v>
      </c>
    </row>
    <row r="1122" spans="1:8" x14ac:dyDescent="0.2">
      <c r="C1122" s="90"/>
      <c r="D1122" s="72"/>
      <c r="E1122" s="72"/>
      <c r="F1122" s="72"/>
      <c r="G1122" s="72"/>
      <c r="H1122" s="72">
        <f t="shared" ref="H1122:H1185" si="45">SUM(D1122:G1122)</f>
        <v>0</v>
      </c>
    </row>
    <row r="1123" spans="1:8" x14ac:dyDescent="0.2">
      <c r="A1123" s="6" t="s">
        <v>682</v>
      </c>
      <c r="B1123" s="6" t="s">
        <v>290</v>
      </c>
      <c r="C1123" s="167" t="s">
        <v>33</v>
      </c>
      <c r="D1123" s="454">
        <v>33000</v>
      </c>
      <c r="E1123" s="454"/>
      <c r="F1123" s="454"/>
      <c r="G1123" s="454"/>
      <c r="H1123" s="454">
        <f t="shared" si="45"/>
        <v>33000</v>
      </c>
    </row>
    <row r="1124" spans="1:8" x14ac:dyDescent="0.2">
      <c r="C1124" s="90"/>
      <c r="D1124" s="72"/>
      <c r="E1124" s="72"/>
      <c r="F1124" s="72"/>
      <c r="G1124" s="72"/>
      <c r="H1124" s="72">
        <f t="shared" si="45"/>
        <v>0</v>
      </c>
    </row>
    <row r="1125" spans="1:8" x14ac:dyDescent="0.2">
      <c r="A1125" s="6" t="s">
        <v>682</v>
      </c>
      <c r="B1125" s="6" t="s">
        <v>290</v>
      </c>
      <c r="C1125" s="90" t="s">
        <v>29</v>
      </c>
      <c r="D1125" s="72">
        <v>5800</v>
      </c>
      <c r="E1125" s="72"/>
      <c r="F1125" s="72"/>
      <c r="G1125" s="72"/>
      <c r="H1125" s="72">
        <f t="shared" si="45"/>
        <v>5800</v>
      </c>
    </row>
    <row r="1126" spans="1:8" x14ac:dyDescent="0.2">
      <c r="C1126" s="90"/>
      <c r="D1126" s="72"/>
      <c r="E1126" s="72"/>
      <c r="F1126" s="72"/>
      <c r="G1126" s="72"/>
      <c r="H1126" s="72">
        <f t="shared" si="45"/>
        <v>0</v>
      </c>
    </row>
    <row r="1127" spans="1:8" x14ac:dyDescent="0.2">
      <c r="A1127" s="6" t="s">
        <v>687</v>
      </c>
      <c r="B1127" s="6" t="s">
        <v>290</v>
      </c>
      <c r="C1127" s="104" t="s">
        <v>285</v>
      </c>
      <c r="D1127" s="417">
        <v>30000</v>
      </c>
      <c r="E1127" s="417"/>
      <c r="F1127" s="417"/>
      <c r="G1127" s="417">
        <v>-4105</v>
      </c>
      <c r="H1127" s="417">
        <f t="shared" si="45"/>
        <v>25895</v>
      </c>
    </row>
    <row r="1128" spans="1:8" x14ac:dyDescent="0.2">
      <c r="C1128" s="104"/>
      <c r="D1128" s="417"/>
      <c r="E1128" s="417"/>
      <c r="F1128" s="417"/>
      <c r="G1128" s="417"/>
      <c r="H1128" s="417">
        <f t="shared" si="45"/>
        <v>0</v>
      </c>
    </row>
    <row r="1129" spans="1:8" x14ac:dyDescent="0.2">
      <c r="A1129" s="6" t="s">
        <v>683</v>
      </c>
      <c r="B1129" s="6" t="s">
        <v>290</v>
      </c>
      <c r="C1129" s="92" t="s">
        <v>288</v>
      </c>
      <c r="D1129" s="388">
        <v>33150</v>
      </c>
      <c r="E1129" s="388"/>
      <c r="F1129" s="388">
        <v>-2050</v>
      </c>
      <c r="G1129" s="388"/>
      <c r="H1129" s="388">
        <f t="shared" si="45"/>
        <v>31100</v>
      </c>
    </row>
    <row r="1130" spans="1:8" x14ac:dyDescent="0.2">
      <c r="C1130" s="99"/>
      <c r="D1130" s="71"/>
      <c r="E1130" s="71"/>
      <c r="F1130" s="71"/>
      <c r="G1130" s="71"/>
      <c r="H1130" s="71">
        <f t="shared" si="45"/>
        <v>0</v>
      </c>
    </row>
    <row r="1131" spans="1:8" x14ac:dyDescent="0.2">
      <c r="A1131" s="6" t="s">
        <v>683</v>
      </c>
      <c r="B1131" s="6" t="s">
        <v>290</v>
      </c>
      <c r="C1131" s="92" t="s">
        <v>289</v>
      </c>
      <c r="D1131" s="388">
        <f>3100+13070</f>
        <v>16170</v>
      </c>
      <c r="E1131" s="388"/>
      <c r="F1131" s="388">
        <v>-11310</v>
      </c>
      <c r="G1131" s="388"/>
      <c r="H1131" s="388">
        <f t="shared" si="45"/>
        <v>4860</v>
      </c>
    </row>
    <row r="1132" spans="1:8" x14ac:dyDescent="0.2">
      <c r="C1132" s="106"/>
      <c r="D1132" s="415"/>
      <c r="E1132" s="415"/>
      <c r="F1132" s="415"/>
      <c r="G1132" s="415"/>
      <c r="H1132" s="415">
        <f t="shared" si="45"/>
        <v>0</v>
      </c>
    </row>
    <row r="1133" spans="1:8" x14ac:dyDescent="0.2">
      <c r="A1133" s="6" t="s">
        <v>692</v>
      </c>
      <c r="B1133" s="6" t="s">
        <v>290</v>
      </c>
      <c r="C1133" s="92" t="s">
        <v>27</v>
      </c>
      <c r="D1133" s="388">
        <v>25000</v>
      </c>
      <c r="E1133" s="388"/>
      <c r="F1133" s="388">
        <v>-7760</v>
      </c>
      <c r="G1133" s="388"/>
      <c r="H1133" s="388">
        <f t="shared" si="45"/>
        <v>17240</v>
      </c>
    </row>
    <row r="1134" spans="1:8" x14ac:dyDescent="0.2">
      <c r="C1134" s="99"/>
      <c r="D1134" s="71"/>
      <c r="E1134" s="71"/>
      <c r="F1134" s="71"/>
      <c r="G1134" s="71"/>
      <c r="H1134" s="71">
        <f t="shared" si="45"/>
        <v>0</v>
      </c>
    </row>
    <row r="1135" spans="1:8" x14ac:dyDescent="0.2">
      <c r="C1135" s="96"/>
      <c r="D1135" s="72"/>
      <c r="E1135" s="72"/>
      <c r="F1135" s="72"/>
      <c r="G1135" s="72"/>
      <c r="H1135" s="72">
        <f t="shared" si="45"/>
        <v>0</v>
      </c>
    </row>
    <row r="1136" spans="1:8" ht="15.75" x14ac:dyDescent="0.2">
      <c r="C1136" s="118" t="s">
        <v>292</v>
      </c>
      <c r="D1136" s="407"/>
      <c r="E1136" s="407"/>
      <c r="F1136" s="407"/>
      <c r="G1136" s="407"/>
      <c r="H1136" s="407">
        <f t="shared" si="45"/>
        <v>0</v>
      </c>
    </row>
    <row r="1137" spans="1:8" x14ac:dyDescent="0.2">
      <c r="C1137" s="96"/>
      <c r="D1137" s="72"/>
      <c r="E1137" s="72"/>
      <c r="F1137" s="72"/>
      <c r="G1137" s="72"/>
      <c r="H1137" s="72">
        <f t="shared" si="45"/>
        <v>0</v>
      </c>
    </row>
    <row r="1138" spans="1:8" x14ac:dyDescent="0.2">
      <c r="C1138" s="108" t="s">
        <v>182</v>
      </c>
      <c r="D1138" s="408">
        <f>D1144+D1160+D1170+D1173+D1181+D1148+D1154</f>
        <v>5016249</v>
      </c>
      <c r="E1138" s="408">
        <f t="shared" ref="E1138:G1138" si="46">E1144+E1160+E1170+E1173+E1181+E1148+E1154</f>
        <v>27054</v>
      </c>
      <c r="F1138" s="408">
        <f t="shared" si="46"/>
        <v>63790</v>
      </c>
      <c r="G1138" s="408">
        <f t="shared" si="46"/>
        <v>-2933</v>
      </c>
      <c r="H1138" s="408">
        <f t="shared" si="45"/>
        <v>5104160</v>
      </c>
    </row>
    <row r="1139" spans="1:8" x14ac:dyDescent="0.2">
      <c r="C1139" s="79" t="s">
        <v>201</v>
      </c>
      <c r="D1139" s="409">
        <v>566000</v>
      </c>
      <c r="E1139" s="409"/>
      <c r="F1139" s="409"/>
      <c r="G1139" s="409"/>
      <c r="H1139" s="409">
        <f t="shared" si="45"/>
        <v>566000</v>
      </c>
    </row>
    <row r="1140" spans="1:8" x14ac:dyDescent="0.2">
      <c r="C1140" s="109" t="s">
        <v>183</v>
      </c>
      <c r="D1140" s="386">
        <f>D1141+D1142</f>
        <v>5016249</v>
      </c>
      <c r="E1140" s="386">
        <f t="shared" ref="E1140:G1140" si="47">E1141+E1142</f>
        <v>27054</v>
      </c>
      <c r="F1140" s="386">
        <f t="shared" si="47"/>
        <v>63790</v>
      </c>
      <c r="G1140" s="386">
        <f t="shared" si="47"/>
        <v>-2933</v>
      </c>
      <c r="H1140" s="386">
        <f t="shared" si="45"/>
        <v>5104160</v>
      </c>
    </row>
    <row r="1141" spans="1:8" x14ac:dyDescent="0.2">
      <c r="C1141" s="110" t="s">
        <v>184</v>
      </c>
      <c r="D1141" s="409">
        <f>'2.2 OMATULUD'!B575</f>
        <v>1242800</v>
      </c>
      <c r="E1141" s="409"/>
      <c r="F1141" s="409">
        <v>63790</v>
      </c>
      <c r="G1141" s="409">
        <v>24225</v>
      </c>
      <c r="H1141" s="409">
        <f t="shared" si="45"/>
        <v>1330815</v>
      </c>
    </row>
    <row r="1142" spans="1:8" x14ac:dyDescent="0.2">
      <c r="C1142" s="111" t="s">
        <v>185</v>
      </c>
      <c r="D1142" s="409">
        <f>D1138-D1141</f>
        <v>3773449</v>
      </c>
      <c r="E1142" s="409">
        <f t="shared" ref="E1142:G1142" si="48">E1138-E1141</f>
        <v>27054</v>
      </c>
      <c r="F1142" s="409">
        <f t="shared" si="48"/>
        <v>0</v>
      </c>
      <c r="G1142" s="409">
        <f t="shared" si="48"/>
        <v>-27158</v>
      </c>
      <c r="H1142" s="409">
        <f t="shared" si="45"/>
        <v>3773345</v>
      </c>
    </row>
    <row r="1143" spans="1:8" x14ac:dyDescent="0.2">
      <c r="C1143" s="111"/>
      <c r="D1143" s="409"/>
      <c r="E1143" s="409"/>
      <c r="F1143" s="409"/>
      <c r="G1143" s="409"/>
      <c r="H1143" s="409">
        <f t="shared" si="45"/>
        <v>0</v>
      </c>
    </row>
    <row r="1144" spans="1:8" ht="15" x14ac:dyDescent="0.2">
      <c r="A1144" s="6" t="s">
        <v>679</v>
      </c>
      <c r="B1144" s="6" t="s">
        <v>292</v>
      </c>
      <c r="C1144" s="158" t="s">
        <v>202</v>
      </c>
      <c r="D1144" s="453">
        <f>D1145</f>
        <v>327748</v>
      </c>
      <c r="E1144" s="453"/>
      <c r="F1144" s="453">
        <f>F1145</f>
        <v>0</v>
      </c>
      <c r="G1144" s="453">
        <f>G1145</f>
        <v>10500</v>
      </c>
      <c r="H1144" s="453">
        <f t="shared" si="45"/>
        <v>338248</v>
      </c>
    </row>
    <row r="1145" spans="1:8" x14ac:dyDescent="0.2">
      <c r="C1145" s="112" t="s">
        <v>541</v>
      </c>
      <c r="D1145" s="283">
        <v>327748</v>
      </c>
      <c r="E1145" s="283"/>
      <c r="F1145" s="283"/>
      <c r="G1145" s="283">
        <v>10500</v>
      </c>
      <c r="H1145" s="283">
        <f t="shared" si="45"/>
        <v>338248</v>
      </c>
    </row>
    <row r="1146" spans="1:8" x14ac:dyDescent="0.2">
      <c r="C1146" s="98" t="s">
        <v>187</v>
      </c>
      <c r="D1146" s="411">
        <v>164480</v>
      </c>
      <c r="E1146" s="411"/>
      <c r="F1146" s="411"/>
      <c r="G1146" s="411">
        <v>2500</v>
      </c>
      <c r="H1146" s="411">
        <f t="shared" si="45"/>
        <v>166980</v>
      </c>
    </row>
    <row r="1147" spans="1:8" x14ac:dyDescent="0.2">
      <c r="C1147" s="151"/>
      <c r="D1147" s="420"/>
      <c r="E1147" s="420"/>
      <c r="F1147" s="420"/>
      <c r="G1147" s="420"/>
      <c r="H1147" s="420">
        <f t="shared" si="45"/>
        <v>0</v>
      </c>
    </row>
    <row r="1148" spans="1:8" ht="15" x14ac:dyDescent="0.2">
      <c r="A1148" s="6" t="s">
        <v>681</v>
      </c>
      <c r="B1148" s="6" t="s">
        <v>292</v>
      </c>
      <c r="C1148" s="169" t="s">
        <v>211</v>
      </c>
      <c r="D1148" s="456">
        <f>D1149</f>
        <v>108729</v>
      </c>
      <c r="E1148" s="456"/>
      <c r="F1148" s="456">
        <f>F1149</f>
        <v>3000</v>
      </c>
      <c r="G1148" s="456">
        <f>G1149</f>
        <v>13782</v>
      </c>
      <c r="H1148" s="456">
        <f t="shared" si="45"/>
        <v>125511</v>
      </c>
    </row>
    <row r="1149" spans="1:8" x14ac:dyDescent="0.2">
      <c r="C1149" s="127" t="s">
        <v>468</v>
      </c>
      <c r="D1149" s="421">
        <f>D1151</f>
        <v>108729</v>
      </c>
      <c r="E1149" s="421"/>
      <c r="F1149" s="421">
        <f>F1151</f>
        <v>3000</v>
      </c>
      <c r="G1149" s="421">
        <f>G1151</f>
        <v>13782</v>
      </c>
      <c r="H1149" s="421">
        <f t="shared" si="45"/>
        <v>125511</v>
      </c>
    </row>
    <row r="1150" spans="1:8" x14ac:dyDescent="0.2">
      <c r="C1150" s="159" t="s">
        <v>194</v>
      </c>
      <c r="D1150" s="421"/>
      <c r="E1150" s="421"/>
      <c r="F1150" s="421"/>
      <c r="G1150" s="421"/>
      <c r="H1150" s="421">
        <f t="shared" si="45"/>
        <v>0</v>
      </c>
    </row>
    <row r="1151" spans="1:8" x14ac:dyDescent="0.2">
      <c r="C1151" s="116" t="s">
        <v>542</v>
      </c>
      <c r="D1151" s="419">
        <v>108729</v>
      </c>
      <c r="E1151" s="419"/>
      <c r="F1151" s="419">
        <v>3000</v>
      </c>
      <c r="G1151" s="419">
        <f>13000+782</f>
        <v>13782</v>
      </c>
      <c r="H1151" s="419">
        <f t="shared" si="45"/>
        <v>125511</v>
      </c>
    </row>
    <row r="1152" spans="1:8" x14ac:dyDescent="0.2">
      <c r="C1152" s="160" t="s">
        <v>187</v>
      </c>
      <c r="D1152" s="415">
        <v>56438</v>
      </c>
      <c r="E1152" s="415"/>
      <c r="F1152" s="415"/>
      <c r="G1152" s="415">
        <f>6130+584</f>
        <v>6714</v>
      </c>
      <c r="H1152" s="415">
        <f t="shared" si="45"/>
        <v>63152</v>
      </c>
    </row>
    <row r="1153" spans="1:8" x14ac:dyDescent="0.2">
      <c r="C1153" s="151"/>
      <c r="D1153" s="420"/>
      <c r="E1153" s="420"/>
      <c r="F1153" s="420"/>
      <c r="G1153" s="420"/>
      <c r="H1153" s="420">
        <f t="shared" si="45"/>
        <v>0</v>
      </c>
    </row>
    <row r="1154" spans="1:8" ht="15" x14ac:dyDescent="0.2">
      <c r="A1154" s="6" t="s">
        <v>680</v>
      </c>
      <c r="B1154" s="6" t="s">
        <v>292</v>
      </c>
      <c r="C1154" s="114" t="s">
        <v>208</v>
      </c>
      <c r="D1154" s="384">
        <f>D1155</f>
        <v>183087</v>
      </c>
      <c r="E1154" s="384"/>
      <c r="F1154" s="384">
        <f>F1155</f>
        <v>0</v>
      </c>
      <c r="G1154" s="384">
        <f>G1155</f>
        <v>0</v>
      </c>
      <c r="H1154" s="384">
        <f t="shared" si="45"/>
        <v>183087</v>
      </c>
    </row>
    <row r="1155" spans="1:8" x14ac:dyDescent="0.2">
      <c r="C1155" s="112" t="s">
        <v>209</v>
      </c>
      <c r="D1155" s="283">
        <f>D1157</f>
        <v>183087</v>
      </c>
      <c r="E1155" s="283"/>
      <c r="F1155" s="283">
        <f>F1157</f>
        <v>0</v>
      </c>
      <c r="G1155" s="283">
        <f>G1157</f>
        <v>0</v>
      </c>
      <c r="H1155" s="283">
        <f t="shared" si="45"/>
        <v>183087</v>
      </c>
    </row>
    <row r="1156" spans="1:8" x14ac:dyDescent="0.2">
      <c r="C1156" s="115" t="s">
        <v>194</v>
      </c>
      <c r="D1156" s="283"/>
      <c r="E1156" s="283"/>
      <c r="F1156" s="283"/>
      <c r="G1156" s="283"/>
      <c r="H1156" s="283">
        <f t="shared" si="45"/>
        <v>0</v>
      </c>
    </row>
    <row r="1157" spans="1:8" ht="24" x14ac:dyDescent="0.2">
      <c r="C1157" s="116" t="s">
        <v>543</v>
      </c>
      <c r="D1157" s="419">
        <v>183087</v>
      </c>
      <c r="E1157" s="419"/>
      <c r="F1157" s="419"/>
      <c r="G1157" s="419"/>
      <c r="H1157" s="419">
        <f t="shared" si="45"/>
        <v>183087</v>
      </c>
    </row>
    <row r="1158" spans="1:8" x14ac:dyDescent="0.2">
      <c r="C1158" s="103" t="s">
        <v>187</v>
      </c>
      <c r="D1158" s="411">
        <v>83628</v>
      </c>
      <c r="E1158" s="411"/>
      <c r="F1158" s="411"/>
      <c r="G1158" s="411"/>
      <c r="H1158" s="411">
        <f t="shared" si="45"/>
        <v>83628</v>
      </c>
    </row>
    <row r="1159" spans="1:8" x14ac:dyDescent="0.2">
      <c r="C1159" s="141"/>
      <c r="D1159" s="416"/>
      <c r="E1159" s="416"/>
      <c r="F1159" s="416"/>
      <c r="G1159" s="416"/>
      <c r="H1159" s="416">
        <f t="shared" si="45"/>
        <v>0</v>
      </c>
    </row>
    <row r="1160" spans="1:8" ht="15" x14ac:dyDescent="0.2">
      <c r="A1160" s="6" t="s">
        <v>682</v>
      </c>
      <c r="B1160" s="6" t="s">
        <v>292</v>
      </c>
      <c r="C1160" s="158" t="s">
        <v>217</v>
      </c>
      <c r="D1160" s="453">
        <f>D1161</f>
        <v>662433</v>
      </c>
      <c r="E1160" s="453">
        <f t="shared" ref="E1160:G1160" si="49">E1161</f>
        <v>27054</v>
      </c>
      <c r="F1160" s="453">
        <f t="shared" si="49"/>
        <v>0</v>
      </c>
      <c r="G1160" s="453">
        <f t="shared" si="49"/>
        <v>1600</v>
      </c>
      <c r="H1160" s="453">
        <f t="shared" si="45"/>
        <v>691087</v>
      </c>
    </row>
    <row r="1161" spans="1:8" ht="25.5" x14ac:dyDescent="0.2">
      <c r="C1161" s="161" t="s">
        <v>283</v>
      </c>
      <c r="D1161" s="441">
        <f>D1163+D1167</f>
        <v>662433</v>
      </c>
      <c r="E1161" s="441">
        <f t="shared" ref="E1161:G1161" si="50">E1163+E1167</f>
        <v>27054</v>
      </c>
      <c r="F1161" s="441">
        <f t="shared" si="50"/>
        <v>0</v>
      </c>
      <c r="G1161" s="441">
        <f t="shared" si="50"/>
        <v>1600</v>
      </c>
      <c r="H1161" s="441">
        <f t="shared" si="45"/>
        <v>691087</v>
      </c>
    </row>
    <row r="1162" spans="1:8" x14ac:dyDescent="0.2">
      <c r="C1162" s="162" t="s">
        <v>194</v>
      </c>
      <c r="D1162" s="408"/>
      <c r="E1162" s="408"/>
      <c r="F1162" s="408"/>
      <c r="G1162" s="408"/>
      <c r="H1162" s="408">
        <f t="shared" si="45"/>
        <v>0</v>
      </c>
    </row>
    <row r="1163" spans="1:8" x14ac:dyDescent="0.2">
      <c r="C1163" s="163" t="s">
        <v>544</v>
      </c>
      <c r="D1163" s="406">
        <v>230603</v>
      </c>
      <c r="E1163" s="406">
        <v>6567</v>
      </c>
      <c r="F1163" s="406"/>
      <c r="G1163" s="406">
        <v>1600</v>
      </c>
      <c r="H1163" s="406">
        <f t="shared" si="45"/>
        <v>238770</v>
      </c>
    </row>
    <row r="1164" spans="1:8" x14ac:dyDescent="0.2">
      <c r="C1164" s="103" t="s">
        <v>187</v>
      </c>
      <c r="D1164" s="411">
        <v>141132</v>
      </c>
      <c r="E1164" s="411">
        <v>4908</v>
      </c>
      <c r="F1164" s="411"/>
      <c r="G1164" s="411">
        <v>1200</v>
      </c>
      <c r="H1164" s="411">
        <f t="shared" si="45"/>
        <v>147240</v>
      </c>
    </row>
    <row r="1165" spans="1:8" x14ac:dyDescent="0.2">
      <c r="C1165" s="163"/>
      <c r="D1165" s="406"/>
      <c r="E1165" s="406"/>
      <c r="F1165" s="406"/>
      <c r="G1165" s="406"/>
      <c r="H1165" s="406">
        <f t="shared" si="45"/>
        <v>0</v>
      </c>
    </row>
    <row r="1166" spans="1:8" x14ac:dyDescent="0.2">
      <c r="C1166" s="162" t="s">
        <v>194</v>
      </c>
      <c r="D1166" s="408"/>
      <c r="E1166" s="408"/>
      <c r="F1166" s="408"/>
      <c r="G1166" s="408"/>
      <c r="H1166" s="408">
        <f t="shared" si="45"/>
        <v>0</v>
      </c>
    </row>
    <row r="1167" spans="1:8" x14ac:dyDescent="0.2">
      <c r="C1167" s="163" t="s">
        <v>545</v>
      </c>
      <c r="D1167" s="406">
        <v>431830</v>
      </c>
      <c r="E1167" s="406">
        <v>20487</v>
      </c>
      <c r="F1167" s="406"/>
      <c r="G1167" s="406"/>
      <c r="H1167" s="406">
        <f t="shared" si="45"/>
        <v>452317</v>
      </c>
    </row>
    <row r="1168" spans="1:8" x14ac:dyDescent="0.2">
      <c r="C1168" s="103" t="s">
        <v>187</v>
      </c>
      <c r="D1168" s="411">
        <v>312408</v>
      </c>
      <c r="E1168" s="411">
        <v>15312</v>
      </c>
      <c r="F1168" s="411"/>
      <c r="G1168" s="411"/>
      <c r="H1168" s="411">
        <f t="shared" si="45"/>
        <v>327720</v>
      </c>
    </row>
    <row r="1169" spans="1:8" x14ac:dyDescent="0.2">
      <c r="C1169" s="116"/>
      <c r="D1169" s="419"/>
      <c r="E1169" s="419"/>
      <c r="F1169" s="419"/>
      <c r="G1169" s="419"/>
      <c r="H1169" s="419">
        <f t="shared" si="45"/>
        <v>0</v>
      </c>
    </row>
    <row r="1170" spans="1:8" ht="15" x14ac:dyDescent="0.2">
      <c r="A1170" s="6" t="s">
        <v>687</v>
      </c>
      <c r="B1170" s="6" t="s">
        <v>292</v>
      </c>
      <c r="C1170" s="158" t="s">
        <v>277</v>
      </c>
      <c r="D1170" s="453">
        <f>D1171</f>
        <v>204160</v>
      </c>
      <c r="E1170" s="453"/>
      <c r="F1170" s="453">
        <f>F1171</f>
        <v>0</v>
      </c>
      <c r="G1170" s="453">
        <f>G1171</f>
        <v>7125</v>
      </c>
      <c r="H1170" s="453">
        <f t="shared" si="45"/>
        <v>211285</v>
      </c>
    </row>
    <row r="1171" spans="1:8" x14ac:dyDescent="0.2">
      <c r="C1171" s="112" t="s">
        <v>278</v>
      </c>
      <c r="D1171" s="283">
        <v>204160</v>
      </c>
      <c r="E1171" s="283"/>
      <c r="F1171" s="283"/>
      <c r="G1171" s="283">
        <v>7125</v>
      </c>
      <c r="H1171" s="283">
        <f t="shared" si="45"/>
        <v>211285</v>
      </c>
    </row>
    <row r="1172" spans="1:8" x14ac:dyDescent="0.2">
      <c r="C1172" s="99"/>
      <c r="D1172" s="71"/>
      <c r="E1172" s="71"/>
      <c r="F1172" s="71"/>
      <c r="G1172" s="71"/>
      <c r="H1172" s="71">
        <f t="shared" si="45"/>
        <v>0</v>
      </c>
    </row>
    <row r="1173" spans="1:8" ht="15" x14ac:dyDescent="0.2">
      <c r="A1173" s="6" t="s">
        <v>683</v>
      </c>
      <c r="B1173" s="6" t="s">
        <v>292</v>
      </c>
      <c r="C1173" s="158" t="s">
        <v>237</v>
      </c>
      <c r="D1173" s="453">
        <f>D1174</f>
        <v>518000</v>
      </c>
      <c r="E1173" s="453"/>
      <c r="F1173" s="453">
        <f>F1174</f>
        <v>0</v>
      </c>
      <c r="G1173" s="453">
        <f>G1174</f>
        <v>-2000</v>
      </c>
      <c r="H1173" s="453">
        <f t="shared" si="45"/>
        <v>516000</v>
      </c>
    </row>
    <row r="1174" spans="1:8" x14ac:dyDescent="0.2">
      <c r="C1174" s="112" t="s">
        <v>238</v>
      </c>
      <c r="D1174" s="283">
        <f>D1176+D1179</f>
        <v>518000</v>
      </c>
      <c r="E1174" s="283"/>
      <c r="F1174" s="283">
        <f>F1176+F1179</f>
        <v>0</v>
      </c>
      <c r="G1174" s="283">
        <f>G1176+G1179</f>
        <v>-2000</v>
      </c>
      <c r="H1174" s="283">
        <f t="shared" si="45"/>
        <v>516000</v>
      </c>
    </row>
    <row r="1175" spans="1:8" x14ac:dyDescent="0.2">
      <c r="C1175" s="115" t="s">
        <v>194</v>
      </c>
      <c r="D1175" s="283"/>
      <c r="E1175" s="283"/>
      <c r="F1175" s="283"/>
      <c r="G1175" s="283"/>
      <c r="H1175" s="283">
        <f t="shared" si="45"/>
        <v>0</v>
      </c>
    </row>
    <row r="1176" spans="1:8" x14ac:dyDescent="0.2">
      <c r="C1176" s="116" t="s">
        <v>239</v>
      </c>
      <c r="D1176" s="419">
        <v>420600</v>
      </c>
      <c r="E1176" s="419"/>
      <c r="F1176" s="419"/>
      <c r="G1176" s="419"/>
      <c r="H1176" s="419">
        <f t="shared" si="45"/>
        <v>420600</v>
      </c>
    </row>
    <row r="1177" spans="1:8" x14ac:dyDescent="0.2">
      <c r="C1177" s="111"/>
      <c r="D1177" s="409"/>
      <c r="E1177" s="409"/>
      <c r="F1177" s="409"/>
      <c r="G1177" s="409"/>
      <c r="H1177" s="409">
        <f t="shared" si="45"/>
        <v>0</v>
      </c>
    </row>
    <row r="1178" spans="1:8" x14ac:dyDescent="0.2">
      <c r="C1178" s="115" t="s">
        <v>260</v>
      </c>
      <c r="D1178" s="283"/>
      <c r="E1178" s="283"/>
      <c r="F1178" s="283"/>
      <c r="G1178" s="283"/>
      <c r="H1178" s="283">
        <f t="shared" si="45"/>
        <v>0</v>
      </c>
    </row>
    <row r="1179" spans="1:8" x14ac:dyDescent="0.2">
      <c r="C1179" s="116" t="s">
        <v>288</v>
      </c>
      <c r="D1179" s="419">
        <v>97400</v>
      </c>
      <c r="E1179" s="419"/>
      <c r="F1179" s="419"/>
      <c r="G1179" s="419">
        <v>-2000</v>
      </c>
      <c r="H1179" s="419">
        <f t="shared" si="45"/>
        <v>95400</v>
      </c>
    </row>
    <row r="1180" spans="1:8" x14ac:dyDescent="0.2">
      <c r="C1180" s="268"/>
      <c r="D1180" s="416"/>
      <c r="E1180" s="416"/>
      <c r="F1180" s="416"/>
      <c r="G1180" s="416"/>
      <c r="H1180" s="416">
        <f t="shared" si="45"/>
        <v>0</v>
      </c>
    </row>
    <row r="1181" spans="1:8" x14ac:dyDescent="0.2">
      <c r="C1181" s="166" t="s">
        <v>186</v>
      </c>
      <c r="D1181" s="447">
        <f>D1183+D1186+D1190+D1192+D1197+D1188+D1194</f>
        <v>3012092</v>
      </c>
      <c r="E1181" s="447"/>
      <c r="F1181" s="447">
        <f>F1183+F1186+F1190+F1192+F1197+F1188+F1194</f>
        <v>60790</v>
      </c>
      <c r="G1181" s="447">
        <f>G1183+G1186+G1190+G1192+G1197+G1188+G1194</f>
        <v>-33940</v>
      </c>
      <c r="H1181" s="447">
        <f t="shared" si="45"/>
        <v>3038942</v>
      </c>
    </row>
    <row r="1182" spans="1:8" x14ac:dyDescent="0.2">
      <c r="C1182" s="166"/>
      <c r="D1182" s="447"/>
      <c r="E1182" s="447"/>
      <c r="F1182" s="447"/>
      <c r="G1182" s="447"/>
      <c r="H1182" s="447">
        <f t="shared" si="45"/>
        <v>0</v>
      </c>
    </row>
    <row r="1183" spans="1:8" x14ac:dyDescent="0.2">
      <c r="A1183" s="6" t="s">
        <v>676</v>
      </c>
      <c r="B1183" s="6" t="s">
        <v>292</v>
      </c>
      <c r="C1183" s="101" t="s">
        <v>284</v>
      </c>
      <c r="D1183" s="406">
        <f>2471352+14400</f>
        <v>2485752</v>
      </c>
      <c r="E1183" s="406"/>
      <c r="F1183" s="406">
        <v>1625</v>
      </c>
      <c r="G1183" s="406">
        <v>-4810</v>
      </c>
      <c r="H1183" s="406">
        <f t="shared" si="45"/>
        <v>2482567</v>
      </c>
    </row>
    <row r="1184" spans="1:8" x14ac:dyDescent="0.2">
      <c r="C1184" s="93" t="s">
        <v>187</v>
      </c>
      <c r="D1184" s="411">
        <v>1387946</v>
      </c>
      <c r="E1184" s="411"/>
      <c r="F1184" s="411"/>
      <c r="G1184" s="411">
        <v>-3595</v>
      </c>
      <c r="H1184" s="411">
        <f t="shared" si="45"/>
        <v>1384351</v>
      </c>
    </row>
    <row r="1185" spans="1:8" x14ac:dyDescent="0.2">
      <c r="C1185" s="90"/>
      <c r="D1185" s="72"/>
      <c r="E1185" s="72"/>
      <c r="F1185" s="72"/>
      <c r="G1185" s="72"/>
      <c r="H1185" s="72">
        <f t="shared" si="45"/>
        <v>0</v>
      </c>
    </row>
    <row r="1186" spans="1:8" ht="25.5" x14ac:dyDescent="0.2">
      <c r="A1186" s="6" t="s">
        <v>679</v>
      </c>
      <c r="B1186" s="6" t="s">
        <v>292</v>
      </c>
      <c r="C1186" s="167" t="s">
        <v>864</v>
      </c>
      <c r="D1186" s="454">
        <v>70000</v>
      </c>
      <c r="E1186" s="454"/>
      <c r="F1186" s="454"/>
      <c r="G1186" s="454">
        <v>12000</v>
      </c>
      <c r="H1186" s="454">
        <f t="shared" ref="H1186:H1249" si="51">SUM(D1186:G1186)</f>
        <v>82000</v>
      </c>
    </row>
    <row r="1187" spans="1:8" x14ac:dyDescent="0.2">
      <c r="C1187" s="90"/>
      <c r="D1187" s="72"/>
      <c r="E1187" s="72"/>
      <c r="F1187" s="72"/>
      <c r="G1187" s="72"/>
      <c r="H1187" s="72">
        <f t="shared" si="51"/>
        <v>0</v>
      </c>
    </row>
    <row r="1188" spans="1:8" x14ac:dyDescent="0.2">
      <c r="A1188" s="6" t="s">
        <v>682</v>
      </c>
      <c r="B1188" s="6" t="s">
        <v>292</v>
      </c>
      <c r="C1188" s="167" t="s">
        <v>33</v>
      </c>
      <c r="D1188" s="454">
        <v>75000</v>
      </c>
      <c r="E1188" s="454"/>
      <c r="F1188" s="454"/>
      <c r="G1188" s="454">
        <v>1370</v>
      </c>
      <c r="H1188" s="454">
        <f t="shared" si="51"/>
        <v>76370</v>
      </c>
    </row>
    <row r="1189" spans="1:8" x14ac:dyDescent="0.2">
      <c r="C1189" s="90"/>
      <c r="D1189" s="72"/>
      <c r="E1189" s="72"/>
      <c r="F1189" s="72"/>
      <c r="G1189" s="72"/>
      <c r="H1189" s="72">
        <f t="shared" si="51"/>
        <v>0</v>
      </c>
    </row>
    <row r="1190" spans="1:8" x14ac:dyDescent="0.2">
      <c r="A1190" s="6" t="s">
        <v>687</v>
      </c>
      <c r="B1190" s="6" t="s">
        <v>292</v>
      </c>
      <c r="C1190" s="104" t="s">
        <v>285</v>
      </c>
      <c r="D1190" s="417">
        <v>32500</v>
      </c>
      <c r="E1190" s="417"/>
      <c r="F1190" s="417">
        <v>10000</v>
      </c>
      <c r="G1190" s="417">
        <v>10000</v>
      </c>
      <c r="H1190" s="417">
        <f t="shared" si="51"/>
        <v>52500</v>
      </c>
    </row>
    <row r="1191" spans="1:8" x14ac:dyDescent="0.2">
      <c r="C1191" s="104"/>
      <c r="D1191" s="417"/>
      <c r="E1191" s="417"/>
      <c r="F1191" s="417"/>
      <c r="G1191" s="417"/>
      <c r="H1191" s="417">
        <f t="shared" si="51"/>
        <v>0</v>
      </c>
    </row>
    <row r="1192" spans="1:8" x14ac:dyDescent="0.2">
      <c r="A1192" s="6" t="s">
        <v>683</v>
      </c>
      <c r="B1192" s="6" t="s">
        <v>292</v>
      </c>
      <c r="C1192" s="92" t="s">
        <v>289</v>
      </c>
      <c r="D1192" s="388">
        <v>75000</v>
      </c>
      <c r="E1192" s="388"/>
      <c r="F1192" s="388">
        <v>45000</v>
      </c>
      <c r="G1192" s="388">
        <v>-18000</v>
      </c>
      <c r="H1192" s="388">
        <f t="shared" si="51"/>
        <v>102000</v>
      </c>
    </row>
    <row r="1193" spans="1:8" x14ac:dyDescent="0.2">
      <c r="C1193" s="148"/>
      <c r="D1193" s="409"/>
      <c r="E1193" s="409"/>
      <c r="F1193" s="409"/>
      <c r="G1193" s="409"/>
      <c r="H1193" s="409">
        <f t="shared" si="51"/>
        <v>0</v>
      </c>
    </row>
    <row r="1194" spans="1:8" x14ac:dyDescent="0.2">
      <c r="A1194" s="6" t="s">
        <v>683</v>
      </c>
      <c r="B1194" s="6" t="s">
        <v>292</v>
      </c>
      <c r="C1194" s="101" t="s">
        <v>630</v>
      </c>
      <c r="D1194" s="406">
        <v>243840</v>
      </c>
      <c r="E1194" s="406"/>
      <c r="F1194" s="406">
        <v>4165</v>
      </c>
      <c r="G1194" s="406">
        <v>-24500</v>
      </c>
      <c r="H1194" s="406">
        <f t="shared" si="51"/>
        <v>223505</v>
      </c>
    </row>
    <row r="1195" spans="1:8" x14ac:dyDescent="0.2">
      <c r="C1195" s="93" t="s">
        <v>187</v>
      </c>
      <c r="D1195" s="411">
        <v>77000</v>
      </c>
      <c r="E1195" s="411"/>
      <c r="F1195" s="411"/>
      <c r="G1195" s="411"/>
      <c r="H1195" s="411">
        <f t="shared" si="51"/>
        <v>77000</v>
      </c>
    </row>
    <row r="1196" spans="1:8" x14ac:dyDescent="0.2">
      <c r="C1196" s="148"/>
      <c r="D1196" s="409"/>
      <c r="E1196" s="409"/>
      <c r="F1196" s="409"/>
      <c r="G1196" s="409"/>
      <c r="H1196" s="409">
        <f t="shared" si="51"/>
        <v>0</v>
      </c>
    </row>
    <row r="1197" spans="1:8" x14ac:dyDescent="0.2">
      <c r="A1197" s="6" t="s">
        <v>692</v>
      </c>
      <c r="B1197" s="6" t="s">
        <v>292</v>
      </c>
      <c r="C1197" s="92" t="s">
        <v>27</v>
      </c>
      <c r="D1197" s="388">
        <v>30000</v>
      </c>
      <c r="E1197" s="388"/>
      <c r="F1197" s="388"/>
      <c r="G1197" s="388">
        <v>-10000</v>
      </c>
      <c r="H1197" s="388">
        <f t="shared" si="51"/>
        <v>20000</v>
      </c>
    </row>
    <row r="1198" spans="1:8" x14ac:dyDescent="0.2">
      <c r="C1198" s="96"/>
      <c r="D1198" s="72"/>
      <c r="E1198" s="72"/>
      <c r="F1198" s="72"/>
      <c r="G1198" s="72"/>
      <c r="H1198" s="72">
        <f t="shared" si="51"/>
        <v>0</v>
      </c>
    </row>
    <row r="1199" spans="1:8" x14ac:dyDescent="0.2">
      <c r="C1199" s="96"/>
      <c r="D1199" s="72"/>
      <c r="E1199" s="72"/>
      <c r="F1199" s="72"/>
      <c r="G1199" s="72"/>
      <c r="H1199" s="72">
        <f t="shared" si="51"/>
        <v>0</v>
      </c>
    </row>
    <row r="1200" spans="1:8" ht="15.75" x14ac:dyDescent="0.2">
      <c r="C1200" s="118" t="s">
        <v>28</v>
      </c>
      <c r="D1200" s="407"/>
      <c r="E1200" s="407"/>
      <c r="F1200" s="407"/>
      <c r="G1200" s="407"/>
      <c r="H1200" s="407">
        <f t="shared" si="51"/>
        <v>0</v>
      </c>
    </row>
    <row r="1201" spans="1:8" x14ac:dyDescent="0.2">
      <c r="C1201" s="96"/>
      <c r="D1201" s="72"/>
      <c r="E1201" s="72"/>
      <c r="F1201" s="72"/>
      <c r="G1201" s="72"/>
      <c r="H1201" s="72">
        <f t="shared" si="51"/>
        <v>0</v>
      </c>
    </row>
    <row r="1202" spans="1:8" x14ac:dyDescent="0.2">
      <c r="C1202" s="108" t="s">
        <v>182</v>
      </c>
      <c r="D1202" s="408">
        <f>D1208+D1229+D1232+D1218+D1212</f>
        <v>2711541</v>
      </c>
      <c r="E1202" s="408">
        <f t="shared" ref="E1202:G1202" si="52">E1208+E1229+E1232+E1218+E1212</f>
        <v>19830</v>
      </c>
      <c r="F1202" s="408">
        <f t="shared" si="52"/>
        <v>9400</v>
      </c>
      <c r="G1202" s="408">
        <f t="shared" si="52"/>
        <v>20413</v>
      </c>
      <c r="H1202" s="408">
        <f t="shared" si="51"/>
        <v>2761184</v>
      </c>
    </row>
    <row r="1203" spans="1:8" x14ac:dyDescent="0.2">
      <c r="C1203" s="79" t="s">
        <v>201</v>
      </c>
      <c r="D1203" s="409">
        <v>228600</v>
      </c>
      <c r="E1203" s="409"/>
      <c r="F1203" s="409"/>
      <c r="G1203" s="409">
        <v>-50300</v>
      </c>
      <c r="H1203" s="409">
        <f t="shared" si="51"/>
        <v>178300</v>
      </c>
    </row>
    <row r="1204" spans="1:8" x14ac:dyDescent="0.2">
      <c r="C1204" s="109" t="s">
        <v>183</v>
      </c>
      <c r="D1204" s="386">
        <f>D1205+D1206</f>
        <v>2711541</v>
      </c>
      <c r="E1204" s="386">
        <f t="shared" ref="E1204:G1204" si="53">E1205+E1206</f>
        <v>19830</v>
      </c>
      <c r="F1204" s="386">
        <f t="shared" si="53"/>
        <v>9400</v>
      </c>
      <c r="G1204" s="386">
        <f t="shared" si="53"/>
        <v>20413</v>
      </c>
      <c r="H1204" s="386">
        <f t="shared" si="51"/>
        <v>2761184</v>
      </c>
    </row>
    <row r="1205" spans="1:8" x14ac:dyDescent="0.2">
      <c r="C1205" s="110" t="s">
        <v>184</v>
      </c>
      <c r="D1205" s="409">
        <f>'2.2 OMATULUD'!B629</f>
        <v>669940</v>
      </c>
      <c r="E1205" s="409"/>
      <c r="F1205" s="409">
        <v>9400</v>
      </c>
      <c r="G1205" s="409">
        <v>27039</v>
      </c>
      <c r="H1205" s="409">
        <f t="shared" si="51"/>
        <v>706379</v>
      </c>
    </row>
    <row r="1206" spans="1:8" x14ac:dyDescent="0.2">
      <c r="C1206" s="111" t="s">
        <v>185</v>
      </c>
      <c r="D1206" s="409">
        <f>D1202-D1205</f>
        <v>2041601</v>
      </c>
      <c r="E1206" s="409">
        <f t="shared" ref="E1206:G1206" si="54">E1202-E1205</f>
        <v>19830</v>
      </c>
      <c r="F1206" s="409">
        <f t="shared" si="54"/>
        <v>0</v>
      </c>
      <c r="G1206" s="409">
        <f t="shared" si="54"/>
        <v>-6626</v>
      </c>
      <c r="H1206" s="409">
        <f t="shared" si="51"/>
        <v>2054805</v>
      </c>
    </row>
    <row r="1207" spans="1:8" x14ac:dyDescent="0.2">
      <c r="C1207" s="111"/>
      <c r="D1207" s="409"/>
      <c r="E1207" s="409"/>
      <c r="F1207" s="409"/>
      <c r="G1207" s="409"/>
      <c r="H1207" s="409">
        <f t="shared" si="51"/>
        <v>0</v>
      </c>
    </row>
    <row r="1208" spans="1:8" ht="15" x14ac:dyDescent="0.2">
      <c r="A1208" s="6" t="s">
        <v>679</v>
      </c>
      <c r="B1208" s="6" t="s">
        <v>28</v>
      </c>
      <c r="C1208" s="158" t="s">
        <v>202</v>
      </c>
      <c r="D1208" s="453">
        <f>D1209</f>
        <v>150732</v>
      </c>
      <c r="E1208" s="453"/>
      <c r="F1208" s="453">
        <f>F1209</f>
        <v>3400</v>
      </c>
      <c r="G1208" s="453">
        <f>G1209</f>
        <v>9018</v>
      </c>
      <c r="H1208" s="453">
        <f t="shared" si="51"/>
        <v>163150</v>
      </c>
    </row>
    <row r="1209" spans="1:8" x14ac:dyDescent="0.2">
      <c r="C1209" s="112" t="s">
        <v>546</v>
      </c>
      <c r="D1209" s="283">
        <v>150732</v>
      </c>
      <c r="E1209" s="283"/>
      <c r="F1209" s="283">
        <v>3400</v>
      </c>
      <c r="G1209" s="283">
        <f>9018</f>
        <v>9018</v>
      </c>
      <c r="H1209" s="283">
        <f t="shared" si="51"/>
        <v>163150</v>
      </c>
    </row>
    <row r="1210" spans="1:8" x14ac:dyDescent="0.2">
      <c r="C1210" s="98" t="s">
        <v>187</v>
      </c>
      <c r="D1210" s="411">
        <v>78960</v>
      </c>
      <c r="E1210" s="411"/>
      <c r="F1210" s="411"/>
      <c r="G1210" s="411">
        <v>3750</v>
      </c>
      <c r="H1210" s="411">
        <f t="shared" si="51"/>
        <v>82710</v>
      </c>
    </row>
    <row r="1211" spans="1:8" x14ac:dyDescent="0.2">
      <c r="C1211" s="151"/>
      <c r="D1211" s="420"/>
      <c r="E1211" s="420"/>
      <c r="F1211" s="420"/>
      <c r="G1211" s="420"/>
      <c r="H1211" s="420">
        <f t="shared" si="51"/>
        <v>0</v>
      </c>
    </row>
    <row r="1212" spans="1:8" ht="15" x14ac:dyDescent="0.2">
      <c r="A1212" s="6" t="s">
        <v>681</v>
      </c>
      <c r="B1212" s="6" t="s">
        <v>28</v>
      </c>
      <c r="C1212" s="169" t="s">
        <v>211</v>
      </c>
      <c r="D1212" s="456">
        <f>D1213</f>
        <v>84757</v>
      </c>
      <c r="E1212" s="456"/>
      <c r="F1212" s="456">
        <f>F1213</f>
        <v>0</v>
      </c>
      <c r="G1212" s="456">
        <f>G1213</f>
        <v>5047</v>
      </c>
      <c r="H1212" s="456">
        <f t="shared" si="51"/>
        <v>89804</v>
      </c>
    </row>
    <row r="1213" spans="1:8" x14ac:dyDescent="0.2">
      <c r="C1213" s="127" t="s">
        <v>468</v>
      </c>
      <c r="D1213" s="421">
        <f>D1215</f>
        <v>84757</v>
      </c>
      <c r="E1213" s="421"/>
      <c r="F1213" s="421">
        <f>F1215</f>
        <v>0</v>
      </c>
      <c r="G1213" s="421">
        <f>G1215</f>
        <v>5047</v>
      </c>
      <c r="H1213" s="421">
        <f t="shared" si="51"/>
        <v>89804</v>
      </c>
    </row>
    <row r="1214" spans="1:8" x14ac:dyDescent="0.2">
      <c r="C1214" s="159" t="s">
        <v>194</v>
      </c>
      <c r="D1214" s="421"/>
      <c r="E1214" s="421"/>
      <c r="F1214" s="421"/>
      <c r="G1214" s="421"/>
      <c r="H1214" s="421">
        <f t="shared" si="51"/>
        <v>0</v>
      </c>
    </row>
    <row r="1215" spans="1:8" ht="24" x14ac:dyDescent="0.2">
      <c r="C1215" s="116" t="s">
        <v>547</v>
      </c>
      <c r="D1215" s="419">
        <v>84757</v>
      </c>
      <c r="E1215" s="419"/>
      <c r="F1215" s="419"/>
      <c r="G1215" s="419">
        <f>4373+674</f>
        <v>5047</v>
      </c>
      <c r="H1215" s="419">
        <f t="shared" si="51"/>
        <v>89804</v>
      </c>
    </row>
    <row r="1216" spans="1:8" x14ac:dyDescent="0.2">
      <c r="C1216" s="160" t="s">
        <v>187</v>
      </c>
      <c r="D1216" s="415">
        <v>45960</v>
      </c>
      <c r="E1216" s="415"/>
      <c r="F1216" s="415"/>
      <c r="G1216" s="415">
        <f>2670+504</f>
        <v>3174</v>
      </c>
      <c r="H1216" s="415">
        <f t="shared" si="51"/>
        <v>49134</v>
      </c>
    </row>
    <row r="1217" spans="1:8" x14ac:dyDescent="0.2">
      <c r="C1217" s="151"/>
      <c r="D1217" s="420"/>
      <c r="E1217" s="420"/>
      <c r="F1217" s="420"/>
      <c r="G1217" s="420"/>
      <c r="H1217" s="420">
        <f t="shared" si="51"/>
        <v>0</v>
      </c>
    </row>
    <row r="1218" spans="1:8" ht="15" x14ac:dyDescent="0.2">
      <c r="A1218" s="6" t="s">
        <v>682</v>
      </c>
      <c r="B1218" s="6" t="s">
        <v>28</v>
      </c>
      <c r="C1218" s="158" t="s">
        <v>217</v>
      </c>
      <c r="D1218" s="453">
        <f>D1220</f>
        <v>682732</v>
      </c>
      <c r="E1218" s="453">
        <f t="shared" ref="E1218:G1218" si="55">E1220</f>
        <v>19830</v>
      </c>
      <c r="F1218" s="453">
        <f t="shared" si="55"/>
        <v>0</v>
      </c>
      <c r="G1218" s="453">
        <f t="shared" si="55"/>
        <v>-40764</v>
      </c>
      <c r="H1218" s="453">
        <f t="shared" si="51"/>
        <v>661798</v>
      </c>
    </row>
    <row r="1219" spans="1:8" x14ac:dyDescent="0.2">
      <c r="C1219" s="170"/>
      <c r="D1219" s="449"/>
      <c r="E1219" s="449"/>
      <c r="F1219" s="449"/>
      <c r="G1219" s="449"/>
      <c r="H1219" s="449">
        <f t="shared" si="51"/>
        <v>0</v>
      </c>
    </row>
    <row r="1220" spans="1:8" ht="25.5" x14ac:dyDescent="0.2">
      <c r="C1220" s="161" t="s">
        <v>283</v>
      </c>
      <c r="D1220" s="441">
        <f>D1222+D1226</f>
        <v>682732</v>
      </c>
      <c r="E1220" s="441">
        <f t="shared" ref="E1220:G1220" si="56">E1222+E1226</f>
        <v>19830</v>
      </c>
      <c r="F1220" s="441">
        <f t="shared" si="56"/>
        <v>0</v>
      </c>
      <c r="G1220" s="441">
        <f t="shared" si="56"/>
        <v>-40764</v>
      </c>
      <c r="H1220" s="441">
        <f t="shared" si="51"/>
        <v>661798</v>
      </c>
    </row>
    <row r="1221" spans="1:8" x14ac:dyDescent="0.2">
      <c r="C1221" s="162" t="s">
        <v>194</v>
      </c>
      <c r="D1221" s="408"/>
      <c r="E1221" s="408"/>
      <c r="F1221" s="408"/>
      <c r="G1221" s="408"/>
      <c r="H1221" s="408">
        <f t="shared" si="51"/>
        <v>0</v>
      </c>
    </row>
    <row r="1222" spans="1:8" x14ac:dyDescent="0.2">
      <c r="C1222" s="163" t="s">
        <v>645</v>
      </c>
      <c r="D1222" s="406">
        <f>189403+122000</f>
        <v>311403</v>
      </c>
      <c r="E1222" s="406">
        <v>2328</v>
      </c>
      <c r="F1222" s="406"/>
      <c r="G1222" s="406">
        <f>-41084</f>
        <v>-41084</v>
      </c>
      <c r="H1222" s="406">
        <f t="shared" si="51"/>
        <v>272647</v>
      </c>
    </row>
    <row r="1223" spans="1:8" x14ac:dyDescent="0.2">
      <c r="C1223" s="103" t="s">
        <v>187</v>
      </c>
      <c r="D1223" s="411">
        <f>89300+46509</f>
        <v>135809</v>
      </c>
      <c r="E1223" s="411">
        <v>1740</v>
      </c>
      <c r="F1223" s="411">
        <v>6300</v>
      </c>
      <c r="G1223" s="411">
        <f>-14920</f>
        <v>-14920</v>
      </c>
      <c r="H1223" s="411">
        <f t="shared" si="51"/>
        <v>128929</v>
      </c>
    </row>
    <row r="1224" spans="1:8" x14ac:dyDescent="0.2">
      <c r="C1224" s="141"/>
      <c r="D1224" s="416"/>
      <c r="E1224" s="416"/>
      <c r="F1224" s="416"/>
      <c r="G1224" s="416"/>
      <c r="H1224" s="416">
        <f t="shared" si="51"/>
        <v>0</v>
      </c>
    </row>
    <row r="1225" spans="1:8" x14ac:dyDescent="0.2">
      <c r="C1225" s="162" t="s">
        <v>194</v>
      </c>
      <c r="D1225" s="408"/>
      <c r="E1225" s="408"/>
      <c r="F1225" s="408"/>
      <c r="G1225" s="408"/>
      <c r="H1225" s="408">
        <f t="shared" si="51"/>
        <v>0</v>
      </c>
    </row>
    <row r="1226" spans="1:8" x14ac:dyDescent="0.2">
      <c r="C1226" s="163" t="s">
        <v>646</v>
      </c>
      <c r="D1226" s="406">
        <v>371329</v>
      </c>
      <c r="E1226" s="406">
        <v>17502</v>
      </c>
      <c r="F1226" s="406"/>
      <c r="G1226" s="406">
        <v>320</v>
      </c>
      <c r="H1226" s="406">
        <f t="shared" si="51"/>
        <v>389151</v>
      </c>
    </row>
    <row r="1227" spans="1:8" x14ac:dyDescent="0.2">
      <c r="C1227" s="103" t="s">
        <v>187</v>
      </c>
      <c r="D1227" s="411">
        <v>265480</v>
      </c>
      <c r="E1227" s="411">
        <v>13080</v>
      </c>
      <c r="F1227" s="411"/>
      <c r="G1227" s="411"/>
      <c r="H1227" s="411">
        <f t="shared" si="51"/>
        <v>278560</v>
      </c>
    </row>
    <row r="1228" spans="1:8" x14ac:dyDescent="0.2">
      <c r="C1228" s="121"/>
      <c r="D1228" s="419"/>
      <c r="E1228" s="419"/>
      <c r="F1228" s="419"/>
      <c r="G1228" s="419"/>
      <c r="H1228" s="419">
        <f t="shared" si="51"/>
        <v>0</v>
      </c>
    </row>
    <row r="1229" spans="1:8" ht="15" x14ac:dyDescent="0.2">
      <c r="A1229" s="6" t="s">
        <v>687</v>
      </c>
      <c r="B1229" s="6" t="s">
        <v>28</v>
      </c>
      <c r="C1229" s="158" t="s">
        <v>277</v>
      </c>
      <c r="D1229" s="453">
        <f>D1230</f>
        <v>101700</v>
      </c>
      <c r="E1229" s="453"/>
      <c r="F1229" s="453">
        <f>F1230</f>
        <v>0</v>
      </c>
      <c r="G1229" s="453">
        <f>G1230</f>
        <v>0</v>
      </c>
      <c r="H1229" s="453">
        <f t="shared" si="51"/>
        <v>101700</v>
      </c>
    </row>
    <row r="1230" spans="1:8" x14ac:dyDescent="0.2">
      <c r="C1230" s="112" t="s">
        <v>278</v>
      </c>
      <c r="D1230" s="283">
        <v>101700</v>
      </c>
      <c r="E1230" s="283"/>
      <c r="F1230" s="283"/>
      <c r="G1230" s="283"/>
      <c r="H1230" s="283">
        <f t="shared" si="51"/>
        <v>101700</v>
      </c>
    </row>
    <row r="1231" spans="1:8" x14ac:dyDescent="0.2">
      <c r="C1231" s="111"/>
      <c r="D1231" s="409"/>
      <c r="E1231" s="409"/>
      <c r="F1231" s="409"/>
      <c r="G1231" s="409"/>
      <c r="H1231" s="409">
        <f t="shared" si="51"/>
        <v>0</v>
      </c>
    </row>
    <row r="1232" spans="1:8" x14ac:dyDescent="0.2">
      <c r="C1232" s="166" t="s">
        <v>186</v>
      </c>
      <c r="D1232" s="447">
        <f>D1234+D1237+D1241+D1243+D1247+D1249+D1245+D1239</f>
        <v>1691620</v>
      </c>
      <c r="E1232" s="447"/>
      <c r="F1232" s="447">
        <f>F1234+F1237+F1241+F1243+F1247+F1249+F1245+F1239</f>
        <v>6000</v>
      </c>
      <c r="G1232" s="447">
        <f>G1234+G1237+G1241+G1243+G1247+G1249+G1245+G1239</f>
        <v>47112</v>
      </c>
      <c r="H1232" s="447">
        <f t="shared" si="51"/>
        <v>1744732</v>
      </c>
    </row>
    <row r="1233" spans="1:8" x14ac:dyDescent="0.2">
      <c r="C1233" s="166"/>
      <c r="D1233" s="447"/>
      <c r="E1233" s="447"/>
      <c r="F1233" s="447"/>
      <c r="G1233" s="447"/>
      <c r="H1233" s="447">
        <f t="shared" si="51"/>
        <v>0</v>
      </c>
    </row>
    <row r="1234" spans="1:8" x14ac:dyDescent="0.2">
      <c r="A1234" s="6" t="s">
        <v>676</v>
      </c>
      <c r="B1234" s="6" t="s">
        <v>28</v>
      </c>
      <c r="C1234" s="101" t="s">
        <v>284</v>
      </c>
      <c r="D1234" s="406">
        <f>1387560+2010</f>
        <v>1389570</v>
      </c>
      <c r="E1234" s="406"/>
      <c r="F1234" s="406"/>
      <c r="G1234" s="83">
        <f>44412-2300-5000</f>
        <v>37112</v>
      </c>
      <c r="H1234" s="406">
        <f t="shared" si="51"/>
        <v>1426682</v>
      </c>
    </row>
    <row r="1235" spans="1:8" x14ac:dyDescent="0.2">
      <c r="C1235" s="93" t="s">
        <v>187</v>
      </c>
      <c r="D1235" s="411">
        <f>882629+1500</f>
        <v>884129</v>
      </c>
      <c r="E1235" s="411"/>
      <c r="F1235" s="411">
        <v>3348</v>
      </c>
      <c r="G1235" s="86">
        <f>3480-1729-3759</f>
        <v>-2008</v>
      </c>
      <c r="H1235" s="411">
        <f t="shared" si="51"/>
        <v>885469</v>
      </c>
    </row>
    <row r="1236" spans="1:8" x14ac:dyDescent="0.2">
      <c r="C1236" s="92"/>
      <c r="D1236" s="388"/>
      <c r="E1236" s="388"/>
      <c r="F1236" s="388"/>
      <c r="G1236" s="388"/>
      <c r="H1236" s="388">
        <f t="shared" si="51"/>
        <v>0</v>
      </c>
    </row>
    <row r="1237" spans="1:8" ht="25.5" x14ac:dyDescent="0.2">
      <c r="A1237" s="6" t="s">
        <v>679</v>
      </c>
      <c r="B1237" s="6" t="s">
        <v>28</v>
      </c>
      <c r="C1237" s="167" t="s">
        <v>864</v>
      </c>
      <c r="D1237" s="454">
        <v>39000</v>
      </c>
      <c r="E1237" s="454"/>
      <c r="F1237" s="454">
        <v>2000</v>
      </c>
      <c r="G1237" s="454">
        <v>10000</v>
      </c>
      <c r="H1237" s="454">
        <f t="shared" si="51"/>
        <v>51000</v>
      </c>
    </row>
    <row r="1238" spans="1:8" x14ac:dyDescent="0.2">
      <c r="C1238" s="90"/>
      <c r="D1238" s="72"/>
      <c r="E1238" s="72"/>
      <c r="F1238" s="72"/>
      <c r="G1238" s="72"/>
      <c r="H1238" s="72">
        <f t="shared" si="51"/>
        <v>0</v>
      </c>
    </row>
    <row r="1239" spans="1:8" x14ac:dyDescent="0.2">
      <c r="A1239" s="6" t="s">
        <v>682</v>
      </c>
      <c r="B1239" s="6" t="s">
        <v>28</v>
      </c>
      <c r="C1239" s="167" t="s">
        <v>33</v>
      </c>
      <c r="D1239" s="454">
        <v>57000</v>
      </c>
      <c r="E1239" s="454"/>
      <c r="F1239" s="454"/>
      <c r="G1239" s="454"/>
      <c r="H1239" s="454">
        <f t="shared" si="51"/>
        <v>57000</v>
      </c>
    </row>
    <row r="1240" spans="1:8" x14ac:dyDescent="0.2">
      <c r="C1240" s="90"/>
      <c r="D1240" s="72"/>
      <c r="E1240" s="72"/>
      <c r="F1240" s="72"/>
      <c r="G1240" s="72"/>
      <c r="H1240" s="72">
        <f t="shared" si="51"/>
        <v>0</v>
      </c>
    </row>
    <row r="1241" spans="1:8" x14ac:dyDescent="0.2">
      <c r="A1241" s="6" t="s">
        <v>682</v>
      </c>
      <c r="B1241" s="6" t="s">
        <v>28</v>
      </c>
      <c r="C1241" s="90" t="s">
        <v>29</v>
      </c>
      <c r="D1241" s="72">
        <v>4000</v>
      </c>
      <c r="E1241" s="72"/>
      <c r="F1241" s="72"/>
      <c r="G1241" s="72"/>
      <c r="H1241" s="72">
        <f t="shared" si="51"/>
        <v>4000</v>
      </c>
    </row>
    <row r="1242" spans="1:8" x14ac:dyDescent="0.2">
      <c r="C1242" s="148"/>
      <c r="D1242" s="409"/>
      <c r="E1242" s="409"/>
      <c r="F1242" s="409"/>
      <c r="G1242" s="409"/>
      <c r="H1242" s="409">
        <f t="shared" si="51"/>
        <v>0</v>
      </c>
    </row>
    <row r="1243" spans="1:8" x14ac:dyDescent="0.2">
      <c r="A1243" s="6" t="s">
        <v>687</v>
      </c>
      <c r="B1243" s="6" t="s">
        <v>28</v>
      </c>
      <c r="C1243" s="104" t="s">
        <v>285</v>
      </c>
      <c r="D1243" s="417">
        <v>38000</v>
      </c>
      <c r="E1243" s="417"/>
      <c r="F1243" s="417">
        <v>6000</v>
      </c>
      <c r="G1243" s="417"/>
      <c r="H1243" s="417">
        <f t="shared" si="51"/>
        <v>44000</v>
      </c>
    </row>
    <row r="1244" spans="1:8" x14ac:dyDescent="0.2">
      <c r="C1244" s="92"/>
      <c r="D1244" s="388"/>
      <c r="E1244" s="388"/>
      <c r="F1244" s="388"/>
      <c r="G1244" s="388"/>
      <c r="H1244" s="388">
        <f t="shared" si="51"/>
        <v>0</v>
      </c>
    </row>
    <row r="1245" spans="1:8" x14ac:dyDescent="0.2">
      <c r="A1245" s="6" t="s">
        <v>683</v>
      </c>
      <c r="B1245" s="6" t="s">
        <v>28</v>
      </c>
      <c r="C1245" s="92" t="s">
        <v>288</v>
      </c>
      <c r="D1245" s="388">
        <v>53850</v>
      </c>
      <c r="E1245" s="388"/>
      <c r="F1245" s="388"/>
      <c r="G1245" s="388"/>
      <c r="H1245" s="388">
        <f t="shared" si="51"/>
        <v>53850</v>
      </c>
    </row>
    <row r="1246" spans="1:8" x14ac:dyDescent="0.2">
      <c r="C1246" s="104"/>
      <c r="D1246" s="417"/>
      <c r="E1246" s="417"/>
      <c r="F1246" s="417"/>
      <c r="G1246" s="417"/>
      <c r="H1246" s="417">
        <f t="shared" si="51"/>
        <v>0</v>
      </c>
    </row>
    <row r="1247" spans="1:8" x14ac:dyDescent="0.2">
      <c r="A1247" s="6" t="s">
        <v>683</v>
      </c>
      <c r="B1247" s="6" t="s">
        <v>28</v>
      </c>
      <c r="C1247" s="92" t="s">
        <v>289</v>
      </c>
      <c r="D1247" s="388">
        <v>82200</v>
      </c>
      <c r="E1247" s="388"/>
      <c r="F1247" s="388"/>
      <c r="G1247" s="388"/>
      <c r="H1247" s="388">
        <f t="shared" si="51"/>
        <v>82200</v>
      </c>
    </row>
    <row r="1248" spans="1:8" x14ac:dyDescent="0.2">
      <c r="C1248" s="148"/>
      <c r="D1248" s="409"/>
      <c r="E1248" s="409"/>
      <c r="F1248" s="409"/>
      <c r="G1248" s="409"/>
      <c r="H1248" s="409">
        <f t="shared" si="51"/>
        <v>0</v>
      </c>
    </row>
    <row r="1249" spans="1:8" x14ac:dyDescent="0.2">
      <c r="A1249" s="6" t="s">
        <v>692</v>
      </c>
      <c r="B1249" s="6" t="s">
        <v>28</v>
      </c>
      <c r="C1249" s="92" t="s">
        <v>27</v>
      </c>
      <c r="D1249" s="388">
        <v>28000</v>
      </c>
      <c r="E1249" s="388"/>
      <c r="F1249" s="388">
        <v>-2000</v>
      </c>
      <c r="G1249" s="388"/>
      <c r="H1249" s="388">
        <f t="shared" si="51"/>
        <v>26000</v>
      </c>
    </row>
    <row r="1250" spans="1:8" x14ac:dyDescent="0.2">
      <c r="C1250" s="96"/>
      <c r="D1250" s="72"/>
      <c r="E1250" s="72"/>
      <c r="F1250" s="72"/>
      <c r="G1250" s="72"/>
      <c r="H1250" s="72">
        <f t="shared" ref="H1250:H1313" si="57">SUM(D1250:G1250)</f>
        <v>0</v>
      </c>
    </row>
    <row r="1251" spans="1:8" x14ac:dyDescent="0.2">
      <c r="C1251" s="96"/>
      <c r="D1251" s="72"/>
      <c r="E1251" s="72"/>
      <c r="F1251" s="72"/>
      <c r="G1251" s="72"/>
      <c r="H1251" s="72">
        <f t="shared" si="57"/>
        <v>0</v>
      </c>
    </row>
    <row r="1252" spans="1:8" ht="15.75" x14ac:dyDescent="0.2">
      <c r="C1252" s="118" t="s">
        <v>30</v>
      </c>
      <c r="D1252" s="407"/>
      <c r="E1252" s="407"/>
      <c r="F1252" s="407"/>
      <c r="G1252" s="407"/>
      <c r="H1252" s="407">
        <f t="shared" si="57"/>
        <v>0</v>
      </c>
    </row>
    <row r="1253" spans="1:8" x14ac:dyDescent="0.2">
      <c r="C1253" s="96"/>
      <c r="D1253" s="72"/>
      <c r="E1253" s="72"/>
      <c r="F1253" s="72"/>
      <c r="G1253" s="72"/>
      <c r="H1253" s="72">
        <f t="shared" si="57"/>
        <v>0</v>
      </c>
    </row>
    <row r="1254" spans="1:8" x14ac:dyDescent="0.2">
      <c r="C1254" s="108" t="s">
        <v>182</v>
      </c>
      <c r="D1254" s="408">
        <f>D1260+D1270+D1298+D1295+D1264</f>
        <v>2499035</v>
      </c>
      <c r="E1254" s="408">
        <f t="shared" ref="E1254:G1254" si="58">E1260+E1270+E1298+E1295+E1264</f>
        <v>13970</v>
      </c>
      <c r="F1254" s="408">
        <f t="shared" si="58"/>
        <v>19000</v>
      </c>
      <c r="G1254" s="408">
        <f t="shared" si="58"/>
        <v>33090</v>
      </c>
      <c r="H1254" s="408">
        <f t="shared" si="57"/>
        <v>2565095</v>
      </c>
    </row>
    <row r="1255" spans="1:8" x14ac:dyDescent="0.2">
      <c r="C1255" s="79" t="s">
        <v>201</v>
      </c>
      <c r="D1255" s="409">
        <v>290000</v>
      </c>
      <c r="E1255" s="409"/>
      <c r="F1255" s="409"/>
      <c r="G1255" s="409"/>
      <c r="H1255" s="409">
        <f t="shared" si="57"/>
        <v>290000</v>
      </c>
    </row>
    <row r="1256" spans="1:8" x14ac:dyDescent="0.2">
      <c r="C1256" s="109" t="s">
        <v>183</v>
      </c>
      <c r="D1256" s="386">
        <f>D1257+D1258</f>
        <v>2499035</v>
      </c>
      <c r="E1256" s="386">
        <f t="shared" ref="E1256:G1256" si="59">E1257+E1258</f>
        <v>13970</v>
      </c>
      <c r="F1256" s="386">
        <f t="shared" si="59"/>
        <v>19000</v>
      </c>
      <c r="G1256" s="386">
        <f t="shared" si="59"/>
        <v>33090</v>
      </c>
      <c r="H1256" s="386">
        <f t="shared" si="57"/>
        <v>2565095</v>
      </c>
    </row>
    <row r="1257" spans="1:8" x14ac:dyDescent="0.2">
      <c r="C1257" s="110" t="s">
        <v>184</v>
      </c>
      <c r="D1257" s="409">
        <f>'2.2 OMATULUD'!B671</f>
        <v>549426</v>
      </c>
      <c r="E1257" s="409"/>
      <c r="F1257" s="409">
        <v>19000</v>
      </c>
      <c r="G1257" s="409">
        <v>23550</v>
      </c>
      <c r="H1257" s="409">
        <f t="shared" si="57"/>
        <v>591976</v>
      </c>
    </row>
    <row r="1258" spans="1:8" x14ac:dyDescent="0.2">
      <c r="C1258" s="111" t="s">
        <v>185</v>
      </c>
      <c r="D1258" s="409">
        <f>D1254-D1257</f>
        <v>1949609</v>
      </c>
      <c r="E1258" s="409">
        <f t="shared" ref="E1258:G1258" si="60">E1254-E1257</f>
        <v>13970</v>
      </c>
      <c r="F1258" s="409">
        <f t="shared" si="60"/>
        <v>0</v>
      </c>
      <c r="G1258" s="409">
        <f t="shared" si="60"/>
        <v>9540</v>
      </c>
      <c r="H1258" s="409">
        <f t="shared" si="57"/>
        <v>1973119</v>
      </c>
    </row>
    <row r="1259" spans="1:8" x14ac:dyDescent="0.2">
      <c r="C1259" s="111"/>
      <c r="D1259" s="409"/>
      <c r="E1259" s="409"/>
      <c r="F1259" s="409"/>
      <c r="G1259" s="409"/>
      <c r="H1259" s="409">
        <f t="shared" si="57"/>
        <v>0</v>
      </c>
    </row>
    <row r="1260" spans="1:8" ht="15" x14ac:dyDescent="0.2">
      <c r="A1260" s="6" t="s">
        <v>679</v>
      </c>
      <c r="B1260" s="6" t="s">
        <v>30</v>
      </c>
      <c r="C1260" s="158" t="s">
        <v>202</v>
      </c>
      <c r="D1260" s="453">
        <f>D1261</f>
        <v>229288</v>
      </c>
      <c r="E1260" s="453"/>
      <c r="F1260" s="453">
        <f>F1261</f>
        <v>10000</v>
      </c>
      <c r="G1260" s="453">
        <f>G1261</f>
        <v>2000</v>
      </c>
      <c r="H1260" s="453">
        <f t="shared" si="57"/>
        <v>241288</v>
      </c>
    </row>
    <row r="1261" spans="1:8" x14ac:dyDescent="0.2">
      <c r="C1261" s="112" t="s">
        <v>548</v>
      </c>
      <c r="D1261" s="283">
        <v>229288</v>
      </c>
      <c r="E1261" s="283"/>
      <c r="F1261" s="283">
        <v>10000</v>
      </c>
      <c r="G1261" s="283">
        <v>2000</v>
      </c>
      <c r="H1261" s="283">
        <f t="shared" si="57"/>
        <v>241288</v>
      </c>
    </row>
    <row r="1262" spans="1:8" x14ac:dyDescent="0.2">
      <c r="C1262" s="98" t="s">
        <v>187</v>
      </c>
      <c r="D1262" s="411">
        <v>121000</v>
      </c>
      <c r="E1262" s="411"/>
      <c r="F1262" s="411"/>
      <c r="G1262" s="411"/>
      <c r="H1262" s="411">
        <f t="shared" si="57"/>
        <v>121000</v>
      </c>
    </row>
    <row r="1263" spans="1:8" x14ac:dyDescent="0.2">
      <c r="C1263" s="151"/>
      <c r="D1263" s="420"/>
      <c r="E1263" s="420"/>
      <c r="F1263" s="420"/>
      <c r="G1263" s="420"/>
      <c r="H1263" s="420">
        <f t="shared" si="57"/>
        <v>0</v>
      </c>
    </row>
    <row r="1264" spans="1:8" ht="15" x14ac:dyDescent="0.2">
      <c r="A1264" s="6" t="s">
        <v>681</v>
      </c>
      <c r="B1264" s="6" t="s">
        <v>30</v>
      </c>
      <c r="C1264" s="158" t="s">
        <v>211</v>
      </c>
      <c r="D1264" s="453">
        <f>D1265</f>
        <v>133360</v>
      </c>
      <c r="E1264" s="453"/>
      <c r="F1264" s="453">
        <f>F1265</f>
        <v>-8970</v>
      </c>
      <c r="G1264" s="453">
        <f>G1265</f>
        <v>1522</v>
      </c>
      <c r="H1264" s="453">
        <f t="shared" si="57"/>
        <v>125912</v>
      </c>
    </row>
    <row r="1265" spans="1:8" x14ac:dyDescent="0.2">
      <c r="C1265" s="112" t="s">
        <v>212</v>
      </c>
      <c r="D1265" s="283">
        <f>D1267</f>
        <v>133360</v>
      </c>
      <c r="E1265" s="283"/>
      <c r="F1265" s="283">
        <f>F1267</f>
        <v>-8970</v>
      </c>
      <c r="G1265" s="283">
        <f>G1267</f>
        <v>1522</v>
      </c>
      <c r="H1265" s="283">
        <f t="shared" si="57"/>
        <v>125912</v>
      </c>
    </row>
    <row r="1266" spans="1:8" x14ac:dyDescent="0.2">
      <c r="C1266" s="162" t="s">
        <v>194</v>
      </c>
      <c r="D1266" s="408"/>
      <c r="E1266" s="408"/>
      <c r="F1266" s="408"/>
      <c r="G1266" s="408"/>
      <c r="H1266" s="408">
        <f t="shared" si="57"/>
        <v>0</v>
      </c>
    </row>
    <row r="1267" spans="1:8" x14ac:dyDescent="0.2">
      <c r="C1267" s="163" t="s">
        <v>611</v>
      </c>
      <c r="D1267" s="406">
        <v>133360</v>
      </c>
      <c r="E1267" s="406"/>
      <c r="F1267" s="406">
        <v>-8970</v>
      </c>
      <c r="G1267" s="406">
        <v>1522</v>
      </c>
      <c r="H1267" s="406">
        <f t="shared" si="57"/>
        <v>125912</v>
      </c>
    </row>
    <row r="1268" spans="1:8" x14ac:dyDescent="0.2">
      <c r="C1268" s="103" t="s">
        <v>187</v>
      </c>
      <c r="D1268" s="411">
        <v>72295</v>
      </c>
      <c r="E1268" s="411"/>
      <c r="F1268" s="411">
        <v>-6500</v>
      </c>
      <c r="G1268" s="411">
        <v>1138</v>
      </c>
      <c r="H1268" s="411">
        <f t="shared" si="57"/>
        <v>66933</v>
      </c>
    </row>
    <row r="1269" spans="1:8" x14ac:dyDescent="0.2">
      <c r="C1269" s="141"/>
      <c r="D1269" s="416"/>
      <c r="E1269" s="416"/>
      <c r="F1269" s="416"/>
      <c r="G1269" s="416"/>
      <c r="H1269" s="416">
        <f t="shared" si="57"/>
        <v>0</v>
      </c>
    </row>
    <row r="1270" spans="1:8" ht="15" x14ac:dyDescent="0.2">
      <c r="A1270" s="6" t="s">
        <v>682</v>
      </c>
      <c r="B1270" s="6" t="s">
        <v>30</v>
      </c>
      <c r="C1270" s="158" t="s">
        <v>217</v>
      </c>
      <c r="D1270" s="453">
        <f>D1272+D1277+D1282</f>
        <v>636995</v>
      </c>
      <c r="E1270" s="453">
        <f t="shared" ref="E1270:G1270" si="61">E1272+E1277+E1282</f>
        <v>13970</v>
      </c>
      <c r="F1270" s="453">
        <f t="shared" si="61"/>
        <v>13350</v>
      </c>
      <c r="G1270" s="453">
        <f t="shared" si="61"/>
        <v>504</v>
      </c>
      <c r="H1270" s="453">
        <f t="shared" si="57"/>
        <v>664819</v>
      </c>
    </row>
    <row r="1271" spans="1:8" x14ac:dyDescent="0.2">
      <c r="C1271" s="93"/>
      <c r="D1271" s="411"/>
      <c r="E1271" s="411"/>
      <c r="F1271" s="411"/>
      <c r="G1271" s="411"/>
      <c r="H1271" s="411">
        <f t="shared" si="57"/>
        <v>0</v>
      </c>
    </row>
    <row r="1272" spans="1:8" x14ac:dyDescent="0.2">
      <c r="C1272" s="145" t="s">
        <v>220</v>
      </c>
      <c r="D1272" s="408">
        <f>D1274</f>
        <v>152300</v>
      </c>
      <c r="E1272" s="408">
        <f t="shared" ref="E1272:G1272" si="62">E1274</f>
        <v>4673</v>
      </c>
      <c r="F1272" s="408">
        <f t="shared" si="62"/>
        <v>0</v>
      </c>
      <c r="G1272" s="408">
        <f t="shared" si="62"/>
        <v>504</v>
      </c>
      <c r="H1272" s="408">
        <f t="shared" si="57"/>
        <v>157477</v>
      </c>
    </row>
    <row r="1273" spans="1:8" x14ac:dyDescent="0.2">
      <c r="C1273" s="162" t="s">
        <v>194</v>
      </c>
      <c r="D1273" s="408"/>
      <c r="E1273" s="408"/>
      <c r="F1273" s="408"/>
      <c r="G1273" s="408"/>
      <c r="H1273" s="408">
        <f t="shared" si="57"/>
        <v>0</v>
      </c>
    </row>
    <row r="1274" spans="1:8" x14ac:dyDescent="0.2">
      <c r="C1274" s="163" t="s">
        <v>549</v>
      </c>
      <c r="D1274" s="406">
        <v>152300</v>
      </c>
      <c r="E1274" s="406">
        <v>4673</v>
      </c>
      <c r="F1274" s="406"/>
      <c r="G1274" s="406">
        <v>504</v>
      </c>
      <c r="H1274" s="406">
        <f t="shared" si="57"/>
        <v>157477</v>
      </c>
    </row>
    <row r="1275" spans="1:8" x14ac:dyDescent="0.2">
      <c r="C1275" s="103" t="s">
        <v>187</v>
      </c>
      <c r="D1275" s="411">
        <v>49664</v>
      </c>
      <c r="E1275" s="411">
        <v>3492</v>
      </c>
      <c r="F1275" s="411"/>
      <c r="G1275" s="411">
        <v>377</v>
      </c>
      <c r="H1275" s="411">
        <f t="shared" si="57"/>
        <v>53533</v>
      </c>
    </row>
    <row r="1276" spans="1:8" x14ac:dyDescent="0.2">
      <c r="C1276" s="141"/>
      <c r="D1276" s="416"/>
      <c r="E1276" s="416"/>
      <c r="F1276" s="416"/>
      <c r="G1276" s="416"/>
      <c r="H1276" s="416">
        <f t="shared" si="57"/>
        <v>0</v>
      </c>
    </row>
    <row r="1277" spans="1:8" x14ac:dyDescent="0.2">
      <c r="C1277" s="145" t="s">
        <v>221</v>
      </c>
      <c r="D1277" s="408">
        <f>D1279</f>
        <v>91087</v>
      </c>
      <c r="E1277" s="408">
        <f t="shared" ref="E1277" si="63">E1279</f>
        <v>2328</v>
      </c>
      <c r="F1277" s="408">
        <f>F1279</f>
        <v>11550</v>
      </c>
      <c r="G1277" s="408">
        <f>G1279</f>
        <v>0</v>
      </c>
      <c r="H1277" s="408">
        <f t="shared" si="57"/>
        <v>104965</v>
      </c>
    </row>
    <row r="1278" spans="1:8" x14ac:dyDescent="0.2">
      <c r="C1278" s="162" t="s">
        <v>194</v>
      </c>
      <c r="D1278" s="408"/>
      <c r="E1278" s="408"/>
      <c r="F1278" s="408"/>
      <c r="G1278" s="408"/>
      <c r="H1278" s="408">
        <f t="shared" si="57"/>
        <v>0</v>
      </c>
    </row>
    <row r="1279" spans="1:8" x14ac:dyDescent="0.2">
      <c r="C1279" s="163" t="s">
        <v>643</v>
      </c>
      <c r="D1279" s="406">
        <f>68350+22737</f>
        <v>91087</v>
      </c>
      <c r="E1279" s="406">
        <v>2328</v>
      </c>
      <c r="F1279" s="406">
        <v>11550</v>
      </c>
      <c r="G1279" s="406"/>
      <c r="H1279" s="406">
        <f t="shared" si="57"/>
        <v>104965</v>
      </c>
    </row>
    <row r="1280" spans="1:8" x14ac:dyDescent="0.2">
      <c r="C1280" s="103" t="s">
        <v>187</v>
      </c>
      <c r="D1280" s="411">
        <f>37796+16968</f>
        <v>54764</v>
      </c>
      <c r="E1280" s="411">
        <v>1740</v>
      </c>
      <c r="F1280" s="411">
        <v>7500</v>
      </c>
      <c r="G1280" s="411"/>
      <c r="H1280" s="411">
        <f t="shared" si="57"/>
        <v>64004</v>
      </c>
    </row>
    <row r="1281" spans="1:8" x14ac:dyDescent="0.2">
      <c r="C1281" s="141"/>
      <c r="D1281" s="416"/>
      <c r="E1281" s="416"/>
      <c r="F1281" s="416"/>
      <c r="G1281" s="416"/>
      <c r="H1281" s="416">
        <f t="shared" si="57"/>
        <v>0</v>
      </c>
    </row>
    <row r="1282" spans="1:8" ht="25.5" x14ac:dyDescent="0.2">
      <c r="C1282" s="161" t="s">
        <v>283</v>
      </c>
      <c r="D1282" s="441">
        <f>D1284+D1288+D1292</f>
        <v>393608</v>
      </c>
      <c r="E1282" s="441">
        <f t="shared" ref="E1282:G1282" si="64">E1284+E1288+E1292</f>
        <v>6969</v>
      </c>
      <c r="F1282" s="441">
        <f t="shared" si="64"/>
        <v>1800</v>
      </c>
      <c r="G1282" s="441">
        <f t="shared" si="64"/>
        <v>0</v>
      </c>
      <c r="H1282" s="441">
        <f t="shared" si="57"/>
        <v>402377</v>
      </c>
    </row>
    <row r="1283" spans="1:8" x14ac:dyDescent="0.2">
      <c r="C1283" s="162" t="s">
        <v>194</v>
      </c>
      <c r="D1283" s="408"/>
      <c r="E1283" s="408"/>
      <c r="F1283" s="408"/>
      <c r="G1283" s="408"/>
      <c r="H1283" s="408">
        <f t="shared" si="57"/>
        <v>0</v>
      </c>
    </row>
    <row r="1284" spans="1:8" x14ac:dyDescent="0.2">
      <c r="C1284" s="163" t="s">
        <v>623</v>
      </c>
      <c r="D1284" s="406">
        <f>130200-22737</f>
        <v>107463</v>
      </c>
      <c r="E1284" s="406">
        <v>996</v>
      </c>
      <c r="F1284" s="406">
        <v>-1200</v>
      </c>
      <c r="G1284" s="406"/>
      <c r="H1284" s="406">
        <f t="shared" si="57"/>
        <v>107259</v>
      </c>
    </row>
    <row r="1285" spans="1:8" x14ac:dyDescent="0.2">
      <c r="C1285" s="103" t="s">
        <v>187</v>
      </c>
      <c r="D1285" s="411">
        <f>62000-16968</f>
        <v>45032</v>
      </c>
      <c r="E1285" s="411">
        <v>744</v>
      </c>
      <c r="F1285" s="411"/>
      <c r="G1285" s="411"/>
      <c r="H1285" s="411">
        <f t="shared" si="57"/>
        <v>45776</v>
      </c>
    </row>
    <row r="1286" spans="1:8" x14ac:dyDescent="0.2">
      <c r="C1286" s="141"/>
      <c r="D1286" s="416"/>
      <c r="E1286" s="416"/>
      <c r="F1286" s="416"/>
      <c r="G1286" s="416"/>
      <c r="H1286" s="416">
        <f t="shared" si="57"/>
        <v>0</v>
      </c>
    </row>
    <row r="1287" spans="1:8" x14ac:dyDescent="0.2">
      <c r="C1287" s="162" t="s">
        <v>194</v>
      </c>
      <c r="D1287" s="408"/>
      <c r="E1287" s="408"/>
      <c r="F1287" s="408"/>
      <c r="G1287" s="408"/>
      <c r="H1287" s="408">
        <f t="shared" si="57"/>
        <v>0</v>
      </c>
    </row>
    <row r="1288" spans="1:8" x14ac:dyDescent="0.2">
      <c r="C1288" s="163" t="s">
        <v>624</v>
      </c>
      <c r="D1288" s="406">
        <v>115700</v>
      </c>
      <c r="E1288" s="406">
        <v>5652</v>
      </c>
      <c r="F1288" s="406">
        <v>3000</v>
      </c>
      <c r="G1288" s="406"/>
      <c r="H1288" s="406">
        <f t="shared" si="57"/>
        <v>124352</v>
      </c>
    </row>
    <row r="1289" spans="1:8" x14ac:dyDescent="0.2">
      <c r="C1289" s="103" t="s">
        <v>187</v>
      </c>
      <c r="D1289" s="411">
        <v>85788</v>
      </c>
      <c r="E1289" s="411">
        <v>4224</v>
      </c>
      <c r="F1289" s="411"/>
      <c r="G1289" s="411"/>
      <c r="H1289" s="411">
        <f t="shared" si="57"/>
        <v>90012</v>
      </c>
    </row>
    <row r="1290" spans="1:8" x14ac:dyDescent="0.2">
      <c r="C1290" s="148"/>
      <c r="D1290" s="409"/>
      <c r="E1290" s="409"/>
      <c r="F1290" s="409"/>
      <c r="G1290" s="409"/>
      <c r="H1290" s="409">
        <f t="shared" si="57"/>
        <v>0</v>
      </c>
    </row>
    <row r="1291" spans="1:8" x14ac:dyDescent="0.2">
      <c r="C1291" s="162" t="s">
        <v>194</v>
      </c>
      <c r="D1291" s="408"/>
      <c r="E1291" s="408"/>
      <c r="F1291" s="408"/>
      <c r="G1291" s="408"/>
      <c r="H1291" s="408">
        <f t="shared" si="57"/>
        <v>0</v>
      </c>
    </row>
    <row r="1292" spans="1:8" x14ac:dyDescent="0.2">
      <c r="C1292" s="163" t="s">
        <v>625</v>
      </c>
      <c r="D1292" s="406">
        <f>157445+13000</f>
        <v>170445</v>
      </c>
      <c r="E1292" s="406">
        <v>321</v>
      </c>
      <c r="F1292" s="406"/>
      <c r="G1292" s="406"/>
      <c r="H1292" s="406">
        <f t="shared" si="57"/>
        <v>170766</v>
      </c>
    </row>
    <row r="1293" spans="1:8" x14ac:dyDescent="0.2">
      <c r="C1293" s="103" t="s">
        <v>187</v>
      </c>
      <c r="D1293" s="411">
        <v>81812</v>
      </c>
      <c r="E1293" s="411">
        <v>240</v>
      </c>
      <c r="F1293" s="411"/>
      <c r="G1293" s="411"/>
      <c r="H1293" s="411">
        <f t="shared" si="57"/>
        <v>82052</v>
      </c>
    </row>
    <row r="1294" spans="1:8" x14ac:dyDescent="0.2">
      <c r="C1294" s="141"/>
      <c r="D1294" s="416"/>
      <c r="E1294" s="416"/>
      <c r="F1294" s="416"/>
      <c r="G1294" s="416"/>
      <c r="H1294" s="416">
        <f t="shared" si="57"/>
        <v>0</v>
      </c>
    </row>
    <row r="1295" spans="1:8" ht="15" x14ac:dyDescent="0.2">
      <c r="A1295" s="6" t="s">
        <v>687</v>
      </c>
      <c r="B1295" s="6" t="s">
        <v>30</v>
      </c>
      <c r="C1295" s="158" t="s">
        <v>277</v>
      </c>
      <c r="D1295" s="453">
        <f>D1296</f>
        <v>100000</v>
      </c>
      <c r="E1295" s="453"/>
      <c r="F1295" s="453">
        <f>F1296</f>
        <v>0</v>
      </c>
      <c r="G1295" s="453">
        <f>G1296</f>
        <v>0</v>
      </c>
      <c r="H1295" s="453">
        <f t="shared" si="57"/>
        <v>100000</v>
      </c>
    </row>
    <row r="1296" spans="1:8" x14ac:dyDescent="0.2">
      <c r="C1296" s="112" t="s">
        <v>278</v>
      </c>
      <c r="D1296" s="283">
        <f>50000+50000</f>
        <v>100000</v>
      </c>
      <c r="E1296" s="283"/>
      <c r="F1296" s="283"/>
      <c r="G1296" s="283"/>
      <c r="H1296" s="283">
        <f t="shared" si="57"/>
        <v>100000</v>
      </c>
    </row>
    <row r="1297" spans="1:8" x14ac:dyDescent="0.2">
      <c r="C1297" s="111"/>
      <c r="D1297" s="409"/>
      <c r="E1297" s="409"/>
      <c r="F1297" s="409"/>
      <c r="G1297" s="409"/>
      <c r="H1297" s="409">
        <f t="shared" si="57"/>
        <v>0</v>
      </c>
    </row>
    <row r="1298" spans="1:8" x14ac:dyDescent="0.2">
      <c r="C1298" s="166" t="s">
        <v>186</v>
      </c>
      <c r="D1298" s="447">
        <f>D1300++D1303+D1307+D1309+D1311+D1316+D1313+D1305</f>
        <v>1399392</v>
      </c>
      <c r="E1298" s="447"/>
      <c r="F1298" s="447">
        <f>F1300++F1303+F1307+F1309+F1311+F1316+F1313+F1305</f>
        <v>4620</v>
      </c>
      <c r="G1298" s="447">
        <f>G1300++G1303+G1307+G1309+G1311+G1316+G1313+G1305</f>
        <v>29064</v>
      </c>
      <c r="H1298" s="447">
        <f t="shared" si="57"/>
        <v>1433076</v>
      </c>
    </row>
    <row r="1299" spans="1:8" x14ac:dyDescent="0.2">
      <c r="C1299" s="166"/>
      <c r="D1299" s="447"/>
      <c r="E1299" s="447"/>
      <c r="F1299" s="447"/>
      <c r="G1299" s="447"/>
      <c r="H1299" s="447">
        <f t="shared" si="57"/>
        <v>0</v>
      </c>
    </row>
    <row r="1300" spans="1:8" x14ac:dyDescent="0.2">
      <c r="A1300" s="6" t="s">
        <v>676</v>
      </c>
      <c r="B1300" s="6" t="s">
        <v>30</v>
      </c>
      <c r="C1300" s="101" t="s">
        <v>284</v>
      </c>
      <c r="D1300" s="406">
        <f>1151396-104</f>
        <v>1151292</v>
      </c>
      <c r="E1300" s="406"/>
      <c r="F1300" s="406"/>
      <c r="G1300" s="406">
        <f>5496-352</f>
        <v>5144</v>
      </c>
      <c r="H1300" s="406">
        <f t="shared" si="57"/>
        <v>1156436</v>
      </c>
    </row>
    <row r="1301" spans="1:8" x14ac:dyDescent="0.2">
      <c r="C1301" s="93" t="s">
        <v>187</v>
      </c>
      <c r="D1301" s="411">
        <f>676996-78</f>
        <v>676918</v>
      </c>
      <c r="E1301" s="411"/>
      <c r="F1301" s="411">
        <v>6960</v>
      </c>
      <c r="G1301" s="411">
        <v>-263</v>
      </c>
      <c r="H1301" s="411">
        <f t="shared" si="57"/>
        <v>683615</v>
      </c>
    </row>
    <row r="1302" spans="1:8" x14ac:dyDescent="0.2">
      <c r="C1302" s="171"/>
      <c r="D1302" s="410"/>
      <c r="E1302" s="410"/>
      <c r="F1302" s="410"/>
      <c r="G1302" s="410"/>
      <c r="H1302" s="410">
        <f t="shared" si="57"/>
        <v>0</v>
      </c>
    </row>
    <row r="1303" spans="1:8" ht="25.5" x14ac:dyDescent="0.2">
      <c r="A1303" s="6" t="s">
        <v>679</v>
      </c>
      <c r="B1303" s="6" t="s">
        <v>30</v>
      </c>
      <c r="C1303" s="167" t="s">
        <v>864</v>
      </c>
      <c r="D1303" s="454">
        <v>15000</v>
      </c>
      <c r="E1303" s="454"/>
      <c r="F1303" s="454"/>
      <c r="G1303" s="454">
        <v>5950</v>
      </c>
      <c r="H1303" s="454">
        <f t="shared" si="57"/>
        <v>20950</v>
      </c>
    </row>
    <row r="1304" spans="1:8" x14ac:dyDescent="0.2">
      <c r="C1304" s="167"/>
      <c r="D1304" s="454"/>
      <c r="E1304" s="454"/>
      <c r="F1304" s="454"/>
      <c r="G1304" s="454"/>
      <c r="H1304" s="454">
        <f t="shared" si="57"/>
        <v>0</v>
      </c>
    </row>
    <row r="1305" spans="1:8" x14ac:dyDescent="0.2">
      <c r="A1305" s="6" t="s">
        <v>682</v>
      </c>
      <c r="B1305" s="6" t="s">
        <v>30</v>
      </c>
      <c r="C1305" s="167" t="s">
        <v>33</v>
      </c>
      <c r="D1305" s="454">
        <v>20000</v>
      </c>
      <c r="E1305" s="454"/>
      <c r="F1305" s="454"/>
      <c r="G1305" s="454"/>
      <c r="H1305" s="454">
        <f t="shared" si="57"/>
        <v>20000</v>
      </c>
    </row>
    <row r="1306" spans="1:8" x14ac:dyDescent="0.2">
      <c r="C1306" s="90"/>
      <c r="D1306" s="72"/>
      <c r="E1306" s="72"/>
      <c r="F1306" s="72"/>
      <c r="G1306" s="72"/>
      <c r="H1306" s="72">
        <f t="shared" si="57"/>
        <v>0</v>
      </c>
    </row>
    <row r="1307" spans="1:8" x14ac:dyDescent="0.2">
      <c r="A1307" s="6" t="s">
        <v>687</v>
      </c>
      <c r="B1307" s="6" t="s">
        <v>30</v>
      </c>
      <c r="C1307" s="104" t="s">
        <v>285</v>
      </c>
      <c r="D1307" s="417">
        <v>60000</v>
      </c>
      <c r="E1307" s="417"/>
      <c r="F1307" s="417"/>
      <c r="G1307" s="417">
        <v>5000</v>
      </c>
      <c r="H1307" s="417">
        <f t="shared" si="57"/>
        <v>65000</v>
      </c>
    </row>
    <row r="1308" spans="1:8" x14ac:dyDescent="0.2">
      <c r="C1308" s="104"/>
      <c r="D1308" s="417"/>
      <c r="E1308" s="417"/>
      <c r="F1308" s="417"/>
      <c r="G1308" s="417"/>
      <c r="H1308" s="417">
        <f t="shared" si="57"/>
        <v>0</v>
      </c>
    </row>
    <row r="1309" spans="1:8" x14ac:dyDescent="0.2">
      <c r="A1309" s="6" t="s">
        <v>683</v>
      </c>
      <c r="B1309" s="6" t="s">
        <v>30</v>
      </c>
      <c r="C1309" s="92" t="s">
        <v>288</v>
      </c>
      <c r="D1309" s="388">
        <v>2000</v>
      </c>
      <c r="E1309" s="388"/>
      <c r="F1309" s="388"/>
      <c r="G1309" s="388"/>
      <c r="H1309" s="388">
        <f t="shared" si="57"/>
        <v>2000</v>
      </c>
    </row>
    <row r="1310" spans="1:8" x14ac:dyDescent="0.2">
      <c r="C1310" s="99"/>
      <c r="D1310" s="71"/>
      <c r="E1310" s="71"/>
      <c r="F1310" s="71"/>
      <c r="G1310" s="71"/>
      <c r="H1310" s="71">
        <f t="shared" si="57"/>
        <v>0</v>
      </c>
    </row>
    <row r="1311" spans="1:8" x14ac:dyDescent="0.2">
      <c r="A1311" s="6" t="s">
        <v>683</v>
      </c>
      <c r="B1311" s="6" t="s">
        <v>30</v>
      </c>
      <c r="C1311" s="92" t="s">
        <v>289</v>
      </c>
      <c r="D1311" s="388">
        <v>26500</v>
      </c>
      <c r="E1311" s="388"/>
      <c r="F1311" s="388"/>
      <c r="G1311" s="388">
        <v>8370</v>
      </c>
      <c r="H1311" s="388">
        <f t="shared" si="57"/>
        <v>34870</v>
      </c>
    </row>
    <row r="1312" spans="1:8" x14ac:dyDescent="0.2">
      <c r="C1312" s="92"/>
      <c r="D1312" s="388"/>
      <c r="E1312" s="388"/>
      <c r="F1312" s="388"/>
      <c r="G1312" s="388"/>
      <c r="H1312" s="388">
        <f t="shared" si="57"/>
        <v>0</v>
      </c>
    </row>
    <row r="1313" spans="1:8" x14ac:dyDescent="0.2">
      <c r="A1313" s="6" t="s">
        <v>683</v>
      </c>
      <c r="B1313" s="6" t="s">
        <v>30</v>
      </c>
      <c r="C1313" s="104" t="s">
        <v>466</v>
      </c>
      <c r="D1313" s="417">
        <v>96600</v>
      </c>
      <c r="E1313" s="417"/>
      <c r="F1313" s="417">
        <v>9000</v>
      </c>
      <c r="G1313" s="417">
        <v>9600</v>
      </c>
      <c r="H1313" s="417">
        <f t="shared" si="57"/>
        <v>115200</v>
      </c>
    </row>
    <row r="1314" spans="1:8" x14ac:dyDescent="0.2">
      <c r="C1314" s="102" t="s">
        <v>187</v>
      </c>
      <c r="D1314" s="415">
        <v>43656</v>
      </c>
      <c r="E1314" s="415"/>
      <c r="F1314" s="415">
        <v>3360</v>
      </c>
      <c r="G1314" s="415"/>
      <c r="H1314" s="415">
        <f t="shared" ref="H1314:H1377" si="65">SUM(D1314:G1314)</f>
        <v>47016</v>
      </c>
    </row>
    <row r="1315" spans="1:8" x14ac:dyDescent="0.2">
      <c r="C1315" s="104"/>
      <c r="D1315" s="417"/>
      <c r="E1315" s="417"/>
      <c r="F1315" s="417"/>
      <c r="G1315" s="417"/>
      <c r="H1315" s="417">
        <f t="shared" si="65"/>
        <v>0</v>
      </c>
    </row>
    <row r="1316" spans="1:8" x14ac:dyDescent="0.2">
      <c r="A1316" s="6" t="s">
        <v>692</v>
      </c>
      <c r="B1316" s="6" t="s">
        <v>30</v>
      </c>
      <c r="C1316" s="92" t="s">
        <v>27</v>
      </c>
      <c r="D1316" s="388">
        <v>28000</v>
      </c>
      <c r="E1316" s="388"/>
      <c r="F1316" s="388">
        <v>-4380</v>
      </c>
      <c r="G1316" s="388">
        <v>-5000</v>
      </c>
      <c r="H1316" s="388">
        <f t="shared" si="65"/>
        <v>18620</v>
      </c>
    </row>
    <row r="1317" spans="1:8" x14ac:dyDescent="0.2">
      <c r="C1317" s="92"/>
      <c r="D1317" s="388"/>
      <c r="E1317" s="388"/>
      <c r="F1317" s="388"/>
      <c r="G1317" s="388"/>
      <c r="H1317" s="388">
        <f t="shared" si="65"/>
        <v>0</v>
      </c>
    </row>
    <row r="1318" spans="1:8" x14ac:dyDescent="0.2">
      <c r="C1318" s="92"/>
      <c r="D1318" s="388"/>
      <c r="E1318" s="388"/>
      <c r="F1318" s="388"/>
      <c r="G1318" s="388"/>
      <c r="H1318" s="388">
        <f t="shared" si="65"/>
        <v>0</v>
      </c>
    </row>
    <row r="1319" spans="1:8" ht="15.75" x14ac:dyDescent="0.2">
      <c r="C1319" s="118" t="s">
        <v>723</v>
      </c>
      <c r="D1319" s="407"/>
      <c r="E1319" s="407"/>
      <c r="F1319" s="407"/>
      <c r="G1319" s="407"/>
      <c r="H1319" s="407">
        <f t="shared" si="65"/>
        <v>0</v>
      </c>
    </row>
    <row r="1320" spans="1:8" x14ac:dyDescent="0.2">
      <c r="C1320" s="96"/>
      <c r="D1320" s="72"/>
      <c r="E1320" s="72"/>
      <c r="F1320" s="72"/>
      <c r="G1320" s="72"/>
      <c r="H1320" s="72">
        <f t="shared" si="65"/>
        <v>0</v>
      </c>
    </row>
    <row r="1321" spans="1:8" x14ac:dyDescent="0.2">
      <c r="C1321" s="108" t="s">
        <v>182</v>
      </c>
      <c r="D1321" s="408">
        <f>D1327+D1337+D1347+D1350+D1331</f>
        <v>1560226</v>
      </c>
      <c r="E1321" s="408">
        <f t="shared" ref="E1321:G1321" si="66">E1327+E1337+E1347+E1350+E1331</f>
        <v>5134</v>
      </c>
      <c r="F1321" s="408">
        <f t="shared" si="66"/>
        <v>-66532</v>
      </c>
      <c r="G1321" s="408">
        <f t="shared" si="66"/>
        <v>20713</v>
      </c>
      <c r="H1321" s="408">
        <f t="shared" si="65"/>
        <v>1519541</v>
      </c>
    </row>
    <row r="1322" spans="1:8" x14ac:dyDescent="0.2">
      <c r="C1322" s="79" t="s">
        <v>201</v>
      </c>
      <c r="D1322" s="409">
        <v>245420</v>
      </c>
      <c r="E1322" s="409"/>
      <c r="F1322" s="409"/>
      <c r="G1322" s="409"/>
      <c r="H1322" s="409">
        <f t="shared" si="65"/>
        <v>245420</v>
      </c>
    </row>
    <row r="1323" spans="1:8" x14ac:dyDescent="0.2">
      <c r="C1323" s="109" t="s">
        <v>183</v>
      </c>
      <c r="D1323" s="386">
        <f>D1324+D1325</f>
        <v>1560226</v>
      </c>
      <c r="E1323" s="386">
        <f t="shared" ref="E1323:G1323" si="67">E1324+E1325</f>
        <v>5134</v>
      </c>
      <c r="F1323" s="386">
        <f t="shared" si="67"/>
        <v>-66532</v>
      </c>
      <c r="G1323" s="386">
        <f t="shared" si="67"/>
        <v>20713</v>
      </c>
      <c r="H1323" s="386">
        <f t="shared" si="65"/>
        <v>1519541</v>
      </c>
    </row>
    <row r="1324" spans="1:8" x14ac:dyDescent="0.2">
      <c r="C1324" s="110" t="s">
        <v>184</v>
      </c>
      <c r="D1324" s="409">
        <f>'2.2 OMATULUD'!B729</f>
        <v>465150</v>
      </c>
      <c r="E1324" s="409"/>
      <c r="F1324" s="409">
        <v>-66532</v>
      </c>
      <c r="G1324" s="409">
        <v>-77391</v>
      </c>
      <c r="H1324" s="409">
        <f t="shared" si="65"/>
        <v>321227</v>
      </c>
    </row>
    <row r="1325" spans="1:8" x14ac:dyDescent="0.2">
      <c r="C1325" s="111" t="s">
        <v>185</v>
      </c>
      <c r="D1325" s="409">
        <f>D1321-D1324</f>
        <v>1095076</v>
      </c>
      <c r="E1325" s="409">
        <f t="shared" ref="E1325:G1325" si="68">E1321-E1324</f>
        <v>5134</v>
      </c>
      <c r="F1325" s="409">
        <f t="shared" si="68"/>
        <v>0</v>
      </c>
      <c r="G1325" s="409">
        <f t="shared" si="68"/>
        <v>98104</v>
      </c>
      <c r="H1325" s="409">
        <f t="shared" si="65"/>
        <v>1198314</v>
      </c>
    </row>
    <row r="1326" spans="1:8" x14ac:dyDescent="0.2">
      <c r="C1326" s="111"/>
      <c r="D1326" s="409"/>
      <c r="E1326" s="409"/>
      <c r="F1326" s="409"/>
      <c r="G1326" s="409"/>
      <c r="H1326" s="409">
        <f t="shared" si="65"/>
        <v>0</v>
      </c>
    </row>
    <row r="1327" spans="1:8" ht="15" x14ac:dyDescent="0.2">
      <c r="A1327" s="6" t="s">
        <v>679</v>
      </c>
      <c r="B1327" s="6" t="s">
        <v>31</v>
      </c>
      <c r="C1327" s="158" t="s">
        <v>202</v>
      </c>
      <c r="D1327" s="453">
        <f>D1328</f>
        <v>194675</v>
      </c>
      <c r="E1327" s="453"/>
      <c r="F1327" s="453">
        <f>F1328</f>
        <v>9200</v>
      </c>
      <c r="G1327" s="453">
        <f>G1328</f>
        <v>-200</v>
      </c>
      <c r="H1327" s="453">
        <f t="shared" si="65"/>
        <v>203675</v>
      </c>
    </row>
    <row r="1328" spans="1:8" x14ac:dyDescent="0.2">
      <c r="C1328" s="112" t="s">
        <v>550</v>
      </c>
      <c r="D1328" s="283">
        <f>189375+3300+2000</f>
        <v>194675</v>
      </c>
      <c r="E1328" s="283"/>
      <c r="F1328" s="283">
        <v>9200</v>
      </c>
      <c r="G1328" s="283">
        <v>-200</v>
      </c>
      <c r="H1328" s="283">
        <f t="shared" si="65"/>
        <v>203675</v>
      </c>
    </row>
    <row r="1329" spans="1:8" x14ac:dyDescent="0.2">
      <c r="C1329" s="98" t="s">
        <v>187</v>
      </c>
      <c r="D1329" s="411">
        <v>95412</v>
      </c>
      <c r="E1329" s="411"/>
      <c r="F1329" s="411"/>
      <c r="G1329" s="411"/>
      <c r="H1329" s="411">
        <f t="shared" si="65"/>
        <v>95412</v>
      </c>
    </row>
    <row r="1330" spans="1:8" x14ac:dyDescent="0.2">
      <c r="C1330" s="151"/>
      <c r="D1330" s="420"/>
      <c r="E1330" s="420"/>
      <c r="F1330" s="420"/>
      <c r="G1330" s="420"/>
      <c r="H1330" s="420">
        <f t="shared" si="65"/>
        <v>0</v>
      </c>
    </row>
    <row r="1331" spans="1:8" ht="15" x14ac:dyDescent="0.2">
      <c r="A1331" s="6" t="s">
        <v>681</v>
      </c>
      <c r="B1331" s="6" t="s">
        <v>31</v>
      </c>
      <c r="C1331" s="169" t="s">
        <v>211</v>
      </c>
      <c r="D1331" s="456">
        <f>D1332</f>
        <v>103767</v>
      </c>
      <c r="E1331" s="456"/>
      <c r="F1331" s="456">
        <f>F1332</f>
        <v>-100</v>
      </c>
      <c r="G1331" s="456">
        <f>G1332</f>
        <v>704</v>
      </c>
      <c r="H1331" s="456">
        <f t="shared" si="65"/>
        <v>104371</v>
      </c>
    </row>
    <row r="1332" spans="1:8" x14ac:dyDescent="0.2">
      <c r="C1332" s="127" t="s">
        <v>468</v>
      </c>
      <c r="D1332" s="421">
        <f>D1334</f>
        <v>103767</v>
      </c>
      <c r="E1332" s="421"/>
      <c r="F1332" s="421">
        <f>F1334</f>
        <v>-100</v>
      </c>
      <c r="G1332" s="421">
        <f>G1334</f>
        <v>704</v>
      </c>
      <c r="H1332" s="421">
        <f t="shared" si="65"/>
        <v>104371</v>
      </c>
    </row>
    <row r="1333" spans="1:8" x14ac:dyDescent="0.2">
      <c r="C1333" s="159" t="s">
        <v>194</v>
      </c>
      <c r="D1333" s="421"/>
      <c r="E1333" s="421"/>
      <c r="F1333" s="421"/>
      <c r="G1333" s="421"/>
      <c r="H1333" s="421">
        <f t="shared" si="65"/>
        <v>0</v>
      </c>
    </row>
    <row r="1334" spans="1:8" x14ac:dyDescent="0.2">
      <c r="C1334" s="116" t="s">
        <v>551</v>
      </c>
      <c r="D1334" s="419">
        <f>101267+2500</f>
        <v>103767</v>
      </c>
      <c r="E1334" s="419"/>
      <c r="F1334" s="419">
        <v>-100</v>
      </c>
      <c r="G1334" s="419">
        <v>704</v>
      </c>
      <c r="H1334" s="419">
        <f t="shared" si="65"/>
        <v>104371</v>
      </c>
    </row>
    <row r="1335" spans="1:8" x14ac:dyDescent="0.2">
      <c r="C1335" s="160" t="s">
        <v>187</v>
      </c>
      <c r="D1335" s="415">
        <v>54006</v>
      </c>
      <c r="E1335" s="415"/>
      <c r="F1335" s="415"/>
      <c r="G1335" s="415">
        <v>526</v>
      </c>
      <c r="H1335" s="415">
        <f t="shared" si="65"/>
        <v>54532</v>
      </c>
    </row>
    <row r="1336" spans="1:8" x14ac:dyDescent="0.2">
      <c r="C1336" s="111"/>
      <c r="D1336" s="409"/>
      <c r="E1336" s="409"/>
      <c r="F1336" s="409"/>
      <c r="G1336" s="409"/>
      <c r="H1336" s="409">
        <f t="shared" si="65"/>
        <v>0</v>
      </c>
    </row>
    <row r="1337" spans="1:8" ht="15" x14ac:dyDescent="0.2">
      <c r="A1337" s="6" t="s">
        <v>682</v>
      </c>
      <c r="B1337" s="6" t="s">
        <v>31</v>
      </c>
      <c r="C1337" s="158" t="s">
        <v>217</v>
      </c>
      <c r="D1337" s="453">
        <f>D1338</f>
        <v>158027</v>
      </c>
      <c r="E1337" s="453">
        <f t="shared" ref="E1337:G1337" si="69">E1338</f>
        <v>5134</v>
      </c>
      <c r="F1337" s="453">
        <f t="shared" si="69"/>
        <v>200</v>
      </c>
      <c r="G1337" s="453">
        <f t="shared" si="69"/>
        <v>0</v>
      </c>
      <c r="H1337" s="453">
        <f t="shared" si="65"/>
        <v>163361</v>
      </c>
    </row>
    <row r="1338" spans="1:8" ht="25.5" x14ac:dyDescent="0.2">
      <c r="C1338" s="161" t="s">
        <v>283</v>
      </c>
      <c r="D1338" s="441">
        <f>D1340+D1344</f>
        <v>158027</v>
      </c>
      <c r="E1338" s="441">
        <f t="shared" ref="E1338:G1338" si="70">E1340+E1344</f>
        <v>5134</v>
      </c>
      <c r="F1338" s="441">
        <f t="shared" si="70"/>
        <v>200</v>
      </c>
      <c r="G1338" s="441">
        <f t="shared" si="70"/>
        <v>0</v>
      </c>
      <c r="H1338" s="441">
        <f t="shared" si="65"/>
        <v>163361</v>
      </c>
    </row>
    <row r="1339" spans="1:8" x14ac:dyDescent="0.2">
      <c r="C1339" s="162" t="s">
        <v>194</v>
      </c>
      <c r="D1339" s="408"/>
      <c r="E1339" s="408"/>
      <c r="F1339" s="408"/>
      <c r="G1339" s="408"/>
      <c r="H1339" s="408">
        <f t="shared" si="65"/>
        <v>0</v>
      </c>
    </row>
    <row r="1340" spans="1:8" x14ac:dyDescent="0.2">
      <c r="C1340" s="163" t="s">
        <v>552</v>
      </c>
      <c r="D1340" s="406">
        <f>110302+5500</f>
        <v>115802</v>
      </c>
      <c r="E1340" s="406">
        <v>2752</v>
      </c>
      <c r="F1340" s="406">
        <v>200</v>
      </c>
      <c r="G1340" s="406">
        <v>650</v>
      </c>
      <c r="H1340" s="406">
        <f t="shared" si="65"/>
        <v>119404</v>
      </c>
    </row>
    <row r="1341" spans="1:8" x14ac:dyDescent="0.2">
      <c r="C1341" s="103" t="s">
        <v>187</v>
      </c>
      <c r="D1341" s="411">
        <v>56168</v>
      </c>
      <c r="E1341" s="411">
        <v>2057</v>
      </c>
      <c r="F1341" s="411"/>
      <c r="G1341" s="411"/>
      <c r="H1341" s="411">
        <f t="shared" si="65"/>
        <v>58225</v>
      </c>
    </row>
    <row r="1342" spans="1:8" x14ac:dyDescent="0.2">
      <c r="C1342" s="172"/>
      <c r="D1342" s="431"/>
      <c r="E1342" s="431"/>
      <c r="F1342" s="431"/>
      <c r="G1342" s="431"/>
      <c r="H1342" s="431">
        <f t="shared" si="65"/>
        <v>0</v>
      </c>
    </row>
    <row r="1343" spans="1:8" x14ac:dyDescent="0.2">
      <c r="C1343" s="162" t="s">
        <v>194</v>
      </c>
      <c r="D1343" s="408"/>
      <c r="E1343" s="408"/>
      <c r="F1343" s="408"/>
      <c r="G1343" s="408"/>
      <c r="H1343" s="408">
        <f t="shared" si="65"/>
        <v>0</v>
      </c>
    </row>
    <row r="1344" spans="1:8" x14ac:dyDescent="0.2">
      <c r="C1344" s="163" t="s">
        <v>291</v>
      </c>
      <c r="D1344" s="406">
        <v>42225</v>
      </c>
      <c r="E1344" s="406">
        <v>2382</v>
      </c>
      <c r="F1344" s="406"/>
      <c r="G1344" s="406">
        <v>-650</v>
      </c>
      <c r="H1344" s="406">
        <f t="shared" si="65"/>
        <v>43957</v>
      </c>
    </row>
    <row r="1345" spans="1:8" x14ac:dyDescent="0.2">
      <c r="C1345" s="103" t="s">
        <v>187</v>
      </c>
      <c r="D1345" s="411">
        <v>28691</v>
      </c>
      <c r="E1345" s="411">
        <v>1780</v>
      </c>
      <c r="F1345" s="411"/>
      <c r="G1345" s="411"/>
      <c r="H1345" s="411">
        <f t="shared" si="65"/>
        <v>30471</v>
      </c>
    </row>
    <row r="1346" spans="1:8" x14ac:dyDescent="0.2">
      <c r="C1346" s="121"/>
      <c r="D1346" s="419"/>
      <c r="E1346" s="419"/>
      <c r="F1346" s="419"/>
      <c r="G1346" s="419"/>
      <c r="H1346" s="419">
        <f t="shared" si="65"/>
        <v>0</v>
      </c>
    </row>
    <row r="1347" spans="1:8" ht="15" x14ac:dyDescent="0.2">
      <c r="A1347" s="6" t="s">
        <v>687</v>
      </c>
      <c r="B1347" s="6" t="s">
        <v>31</v>
      </c>
      <c r="C1347" s="158" t="s">
        <v>277</v>
      </c>
      <c r="D1347" s="453">
        <f>D1348</f>
        <v>142860</v>
      </c>
      <c r="E1347" s="453"/>
      <c r="F1347" s="453">
        <f>F1348</f>
        <v>0</v>
      </c>
      <c r="G1347" s="453">
        <f>G1348</f>
        <v>0</v>
      </c>
      <c r="H1347" s="453">
        <f t="shared" si="65"/>
        <v>142860</v>
      </c>
    </row>
    <row r="1348" spans="1:8" x14ac:dyDescent="0.2">
      <c r="C1348" s="112" t="s">
        <v>278</v>
      </c>
      <c r="D1348" s="283">
        <v>142860</v>
      </c>
      <c r="E1348" s="283"/>
      <c r="F1348" s="283"/>
      <c r="G1348" s="283"/>
      <c r="H1348" s="283">
        <f t="shared" si="65"/>
        <v>142860</v>
      </c>
    </row>
    <row r="1349" spans="1:8" x14ac:dyDescent="0.2">
      <c r="C1349" s="99"/>
      <c r="D1349" s="71"/>
      <c r="E1349" s="71"/>
      <c r="F1349" s="71"/>
      <c r="G1349" s="71"/>
      <c r="H1349" s="71">
        <f t="shared" si="65"/>
        <v>0</v>
      </c>
    </row>
    <row r="1350" spans="1:8" x14ac:dyDescent="0.2">
      <c r="C1350" s="166" t="s">
        <v>186</v>
      </c>
      <c r="D1350" s="447">
        <f>D1352+D1355+D1359+D1363+D1365+D1357+D1361</f>
        <v>960897</v>
      </c>
      <c r="E1350" s="447"/>
      <c r="F1350" s="447">
        <f>F1352+F1355+F1359+F1363+F1365+F1357+F1361</f>
        <v>-75832</v>
      </c>
      <c r="G1350" s="447">
        <f>G1352+G1355+G1359+G1363+G1365+G1357+G1361</f>
        <v>20209</v>
      </c>
      <c r="H1350" s="447">
        <f t="shared" si="65"/>
        <v>905274</v>
      </c>
    </row>
    <row r="1351" spans="1:8" x14ac:dyDescent="0.2">
      <c r="C1351" s="166"/>
      <c r="D1351" s="447"/>
      <c r="E1351" s="447"/>
      <c r="F1351" s="447"/>
      <c r="G1351" s="447"/>
      <c r="H1351" s="447">
        <f t="shared" si="65"/>
        <v>0</v>
      </c>
    </row>
    <row r="1352" spans="1:8" x14ac:dyDescent="0.2">
      <c r="A1352" s="6" t="s">
        <v>676</v>
      </c>
      <c r="B1352" s="6" t="s">
        <v>31</v>
      </c>
      <c r="C1352" s="101" t="s">
        <v>284</v>
      </c>
      <c r="D1352" s="406">
        <f>685557</f>
        <v>685557</v>
      </c>
      <c r="E1352" s="406"/>
      <c r="F1352" s="406">
        <v>6720</v>
      </c>
      <c r="G1352" s="406">
        <f>14760+3500</f>
        <v>18260</v>
      </c>
      <c r="H1352" s="406">
        <f t="shared" si="65"/>
        <v>710537</v>
      </c>
    </row>
    <row r="1353" spans="1:8" x14ac:dyDescent="0.2">
      <c r="C1353" s="93" t="s">
        <v>187</v>
      </c>
      <c r="D1353" s="411">
        <f>428090</f>
        <v>428090</v>
      </c>
      <c r="E1353" s="411"/>
      <c r="F1353" s="411">
        <v>16320</v>
      </c>
      <c r="G1353" s="411"/>
      <c r="H1353" s="411">
        <f t="shared" si="65"/>
        <v>444410</v>
      </c>
    </row>
    <row r="1354" spans="1:8" x14ac:dyDescent="0.2">
      <c r="C1354" s="142"/>
      <c r="D1354" s="416"/>
      <c r="E1354" s="416"/>
      <c r="F1354" s="416"/>
      <c r="G1354" s="416"/>
      <c r="H1354" s="416">
        <f t="shared" si="65"/>
        <v>0</v>
      </c>
    </row>
    <row r="1355" spans="1:8" ht="25.5" x14ac:dyDescent="0.2">
      <c r="A1355" s="6" t="s">
        <v>679</v>
      </c>
      <c r="B1355" s="6" t="s">
        <v>31</v>
      </c>
      <c r="C1355" s="167" t="s">
        <v>864</v>
      </c>
      <c r="D1355" s="454">
        <v>23310</v>
      </c>
      <c r="E1355" s="454"/>
      <c r="F1355" s="454">
        <v>2520</v>
      </c>
      <c r="G1355" s="454">
        <f>4000+1500</f>
        <v>5500</v>
      </c>
      <c r="H1355" s="454">
        <f t="shared" si="65"/>
        <v>31330</v>
      </c>
    </row>
    <row r="1356" spans="1:8" x14ac:dyDescent="0.2">
      <c r="C1356" s="167"/>
      <c r="D1356" s="454"/>
      <c r="E1356" s="454"/>
      <c r="F1356" s="454"/>
      <c r="G1356" s="454"/>
      <c r="H1356" s="454">
        <f t="shared" si="65"/>
        <v>0</v>
      </c>
    </row>
    <row r="1357" spans="1:8" x14ac:dyDescent="0.2">
      <c r="A1357" s="6" t="s">
        <v>682</v>
      </c>
      <c r="B1357" s="6" t="s">
        <v>31</v>
      </c>
      <c r="C1357" s="167" t="s">
        <v>33</v>
      </c>
      <c r="D1357" s="454">
        <v>9600</v>
      </c>
      <c r="E1357" s="454"/>
      <c r="F1357" s="454"/>
      <c r="G1357" s="454"/>
      <c r="H1357" s="454">
        <f t="shared" si="65"/>
        <v>9600</v>
      </c>
    </row>
    <row r="1358" spans="1:8" x14ac:dyDescent="0.2">
      <c r="C1358" s="90"/>
      <c r="D1358" s="72"/>
      <c r="E1358" s="72"/>
      <c r="F1358" s="72"/>
      <c r="G1358" s="72"/>
      <c r="H1358" s="72">
        <f t="shared" si="65"/>
        <v>0</v>
      </c>
    </row>
    <row r="1359" spans="1:8" x14ac:dyDescent="0.2">
      <c r="A1359" s="6" t="s">
        <v>687</v>
      </c>
      <c r="B1359" s="6" t="s">
        <v>31</v>
      </c>
      <c r="C1359" s="104" t="s">
        <v>285</v>
      </c>
      <c r="D1359" s="417">
        <v>34860</v>
      </c>
      <c r="E1359" s="417"/>
      <c r="F1359" s="417"/>
      <c r="G1359" s="417">
        <v>1449</v>
      </c>
      <c r="H1359" s="417">
        <f t="shared" si="65"/>
        <v>36309</v>
      </c>
    </row>
    <row r="1360" spans="1:8" x14ac:dyDescent="0.2">
      <c r="C1360" s="104"/>
      <c r="D1360" s="417"/>
      <c r="E1360" s="417"/>
      <c r="F1360" s="417"/>
      <c r="G1360" s="417"/>
      <c r="H1360" s="417">
        <f t="shared" si="65"/>
        <v>0</v>
      </c>
    </row>
    <row r="1361" spans="1:8" x14ac:dyDescent="0.2">
      <c r="A1361" s="6" t="s">
        <v>687</v>
      </c>
      <c r="B1361" s="6" t="s">
        <v>31</v>
      </c>
      <c r="C1361" s="167" t="s">
        <v>464</v>
      </c>
      <c r="D1361" s="454">
        <v>75000</v>
      </c>
      <c r="E1361" s="454"/>
      <c r="F1361" s="454">
        <v>5465</v>
      </c>
      <c r="G1361" s="454"/>
      <c r="H1361" s="454">
        <f t="shared" si="65"/>
        <v>80465</v>
      </c>
    </row>
    <row r="1362" spans="1:8" x14ac:dyDescent="0.2">
      <c r="C1362" s="99"/>
      <c r="D1362" s="71"/>
      <c r="E1362" s="71"/>
      <c r="F1362" s="71"/>
      <c r="G1362" s="71"/>
      <c r="H1362" s="71">
        <f t="shared" si="65"/>
        <v>0</v>
      </c>
    </row>
    <row r="1363" spans="1:8" x14ac:dyDescent="0.2">
      <c r="A1363" s="6" t="s">
        <v>683</v>
      </c>
      <c r="B1363" s="6" t="s">
        <v>31</v>
      </c>
      <c r="C1363" s="92" t="s">
        <v>289</v>
      </c>
      <c r="D1363" s="388">
        <v>120050</v>
      </c>
      <c r="E1363" s="388"/>
      <c r="F1363" s="388">
        <v>-88017</v>
      </c>
      <c r="G1363" s="388"/>
      <c r="H1363" s="388">
        <f t="shared" si="65"/>
        <v>32033</v>
      </c>
    </row>
    <row r="1364" spans="1:8" x14ac:dyDescent="0.2">
      <c r="C1364" s="148"/>
      <c r="D1364" s="409"/>
      <c r="E1364" s="409"/>
      <c r="F1364" s="409"/>
      <c r="G1364" s="409"/>
      <c r="H1364" s="409">
        <f t="shared" si="65"/>
        <v>0</v>
      </c>
    </row>
    <row r="1365" spans="1:8" x14ac:dyDescent="0.2">
      <c r="A1365" s="6" t="s">
        <v>692</v>
      </c>
      <c r="B1365" s="6" t="s">
        <v>31</v>
      </c>
      <c r="C1365" s="92" t="s">
        <v>27</v>
      </c>
      <c r="D1365" s="388">
        <v>12520</v>
      </c>
      <c r="E1365" s="388"/>
      <c r="F1365" s="388">
        <v>-2520</v>
      </c>
      <c r="G1365" s="388">
        <v>-5000</v>
      </c>
      <c r="H1365" s="388">
        <f t="shared" si="65"/>
        <v>5000</v>
      </c>
    </row>
    <row r="1366" spans="1:8" x14ac:dyDescent="0.2">
      <c r="C1366" s="96"/>
      <c r="D1366" s="72"/>
      <c r="E1366" s="72"/>
      <c r="F1366" s="72"/>
      <c r="G1366" s="72"/>
      <c r="H1366" s="72">
        <f t="shared" si="65"/>
        <v>0</v>
      </c>
    </row>
    <row r="1367" spans="1:8" x14ac:dyDescent="0.2">
      <c r="C1367" s="96"/>
      <c r="D1367" s="72"/>
      <c r="E1367" s="72"/>
      <c r="F1367" s="72"/>
      <c r="G1367" s="72"/>
      <c r="H1367" s="72">
        <f t="shared" si="65"/>
        <v>0</v>
      </c>
    </row>
    <row r="1368" spans="1:8" ht="15.75" x14ac:dyDescent="0.2">
      <c r="C1368" s="118" t="s">
        <v>32</v>
      </c>
      <c r="D1368" s="407"/>
      <c r="E1368" s="407"/>
      <c r="F1368" s="407"/>
      <c r="G1368" s="407"/>
      <c r="H1368" s="407">
        <f t="shared" si="65"/>
        <v>0</v>
      </c>
    </row>
    <row r="1369" spans="1:8" x14ac:dyDescent="0.2">
      <c r="C1369" s="96"/>
      <c r="D1369" s="72"/>
      <c r="E1369" s="72"/>
      <c r="F1369" s="72"/>
      <c r="G1369" s="72"/>
      <c r="H1369" s="72">
        <f t="shared" si="65"/>
        <v>0</v>
      </c>
    </row>
    <row r="1370" spans="1:8" x14ac:dyDescent="0.2">
      <c r="C1370" s="108" t="s">
        <v>182</v>
      </c>
      <c r="D1370" s="408">
        <f>D1376+D1387+D1397+D1400+D1380</f>
        <v>3978503</v>
      </c>
      <c r="E1370" s="408">
        <f t="shared" ref="E1370:G1370" si="71">E1376+E1387+E1397+E1400+E1380</f>
        <v>20970</v>
      </c>
      <c r="F1370" s="408">
        <f t="shared" si="71"/>
        <v>112433</v>
      </c>
      <c r="G1370" s="408">
        <f t="shared" si="71"/>
        <v>33764</v>
      </c>
      <c r="H1370" s="408">
        <f t="shared" si="65"/>
        <v>4145670</v>
      </c>
    </row>
    <row r="1371" spans="1:8" x14ac:dyDescent="0.2">
      <c r="C1371" s="79" t="s">
        <v>201</v>
      </c>
      <c r="D1371" s="409">
        <v>813780</v>
      </c>
      <c r="E1371" s="409"/>
      <c r="F1371" s="409"/>
      <c r="G1371" s="409"/>
      <c r="H1371" s="409">
        <f t="shared" si="65"/>
        <v>813780</v>
      </c>
    </row>
    <row r="1372" spans="1:8" x14ac:dyDescent="0.2">
      <c r="C1372" s="109" t="s">
        <v>183</v>
      </c>
      <c r="D1372" s="386">
        <f>D1373+D1374</f>
        <v>3978503</v>
      </c>
      <c r="E1372" s="386">
        <f t="shared" ref="E1372:G1372" si="72">E1373+E1374</f>
        <v>20970</v>
      </c>
      <c r="F1372" s="386">
        <f t="shared" si="72"/>
        <v>112433</v>
      </c>
      <c r="G1372" s="386">
        <f t="shared" si="72"/>
        <v>33764</v>
      </c>
      <c r="H1372" s="386">
        <f t="shared" si="65"/>
        <v>4145670</v>
      </c>
    </row>
    <row r="1373" spans="1:8" x14ac:dyDescent="0.2">
      <c r="C1373" s="110" t="s">
        <v>184</v>
      </c>
      <c r="D1373" s="409">
        <f>'2.2 OMATULUD'!B762</f>
        <v>1265910</v>
      </c>
      <c r="E1373" s="409"/>
      <c r="F1373" s="409">
        <v>40115</v>
      </c>
      <c r="G1373" s="409">
        <v>35174</v>
      </c>
      <c r="H1373" s="409">
        <f t="shared" si="65"/>
        <v>1341199</v>
      </c>
    </row>
    <row r="1374" spans="1:8" x14ac:dyDescent="0.2">
      <c r="C1374" s="111" t="s">
        <v>185</v>
      </c>
      <c r="D1374" s="409">
        <f>D1370-D1373</f>
        <v>2712593</v>
      </c>
      <c r="E1374" s="409">
        <f t="shared" ref="E1374" si="73">E1370-E1373</f>
        <v>20970</v>
      </c>
      <c r="F1374" s="409">
        <f>F1370-F1373</f>
        <v>72318</v>
      </c>
      <c r="G1374" s="409">
        <f>G1370-G1373</f>
        <v>-1410</v>
      </c>
      <c r="H1374" s="409">
        <f t="shared" si="65"/>
        <v>2804471</v>
      </c>
    </row>
    <row r="1375" spans="1:8" x14ac:dyDescent="0.2">
      <c r="C1375" s="111"/>
      <c r="D1375" s="409"/>
      <c r="E1375" s="409"/>
      <c r="F1375" s="409"/>
      <c r="G1375" s="409"/>
      <c r="H1375" s="409">
        <f t="shared" si="65"/>
        <v>0</v>
      </c>
    </row>
    <row r="1376" spans="1:8" ht="15" x14ac:dyDescent="0.2">
      <c r="A1376" s="6" t="s">
        <v>679</v>
      </c>
      <c r="B1376" s="6" t="s">
        <v>32</v>
      </c>
      <c r="C1376" s="158" t="s">
        <v>202</v>
      </c>
      <c r="D1376" s="453">
        <f>D1377</f>
        <v>504000</v>
      </c>
      <c r="E1376" s="453"/>
      <c r="F1376" s="453">
        <f>F1377</f>
        <v>94450</v>
      </c>
      <c r="G1376" s="453">
        <f>G1377</f>
        <v>0</v>
      </c>
      <c r="H1376" s="453">
        <f t="shared" si="65"/>
        <v>598450</v>
      </c>
    </row>
    <row r="1377" spans="1:8" x14ac:dyDescent="0.2">
      <c r="C1377" s="112" t="s">
        <v>553</v>
      </c>
      <c r="D1377" s="283">
        <v>504000</v>
      </c>
      <c r="E1377" s="283"/>
      <c r="F1377" s="283">
        <v>94450</v>
      </c>
      <c r="G1377" s="283"/>
      <c r="H1377" s="283">
        <f t="shared" si="65"/>
        <v>598450</v>
      </c>
    </row>
    <row r="1378" spans="1:8" x14ac:dyDescent="0.2">
      <c r="C1378" s="98" t="s">
        <v>187</v>
      </c>
      <c r="D1378" s="411">
        <v>270056</v>
      </c>
      <c r="E1378" s="411"/>
      <c r="F1378" s="411">
        <v>30000</v>
      </c>
      <c r="G1378" s="411"/>
      <c r="H1378" s="411">
        <f t="shared" ref="H1378:H1441" si="74">SUM(D1378:G1378)</f>
        <v>300056</v>
      </c>
    </row>
    <row r="1379" spans="1:8" x14ac:dyDescent="0.2">
      <c r="C1379" s="151"/>
      <c r="D1379" s="420"/>
      <c r="E1379" s="420"/>
      <c r="F1379" s="420"/>
      <c r="G1379" s="420"/>
      <c r="H1379" s="420">
        <f t="shared" si="74"/>
        <v>0</v>
      </c>
    </row>
    <row r="1380" spans="1:8" ht="15" x14ac:dyDescent="0.2">
      <c r="A1380" s="6" t="s">
        <v>681</v>
      </c>
      <c r="B1380" s="6" t="s">
        <v>32</v>
      </c>
      <c r="C1380" s="158" t="s">
        <v>211</v>
      </c>
      <c r="D1380" s="453">
        <f>D1381</f>
        <v>90780</v>
      </c>
      <c r="E1380" s="453"/>
      <c r="F1380" s="453">
        <f>F1381</f>
        <v>1015</v>
      </c>
      <c r="G1380" s="453">
        <f>G1381</f>
        <v>1284</v>
      </c>
      <c r="H1380" s="453">
        <f t="shared" si="74"/>
        <v>93079</v>
      </c>
    </row>
    <row r="1381" spans="1:8" x14ac:dyDescent="0.2">
      <c r="C1381" s="112" t="s">
        <v>212</v>
      </c>
      <c r="D1381" s="283">
        <f>D1384</f>
        <v>90780</v>
      </c>
      <c r="E1381" s="283"/>
      <c r="F1381" s="283">
        <f>F1384</f>
        <v>1015</v>
      </c>
      <c r="G1381" s="283">
        <f>G1384</f>
        <v>1284</v>
      </c>
      <c r="H1381" s="283">
        <f t="shared" si="74"/>
        <v>93079</v>
      </c>
    </row>
    <row r="1382" spans="1:8" x14ac:dyDescent="0.2">
      <c r="C1382" s="251"/>
      <c r="D1382" s="457"/>
      <c r="E1382" s="457"/>
      <c r="F1382" s="457"/>
      <c r="G1382" s="457"/>
      <c r="H1382" s="457">
        <f t="shared" si="74"/>
        <v>0</v>
      </c>
    </row>
    <row r="1383" spans="1:8" x14ac:dyDescent="0.2">
      <c r="C1383" s="162" t="s">
        <v>194</v>
      </c>
      <c r="D1383" s="408"/>
      <c r="E1383" s="408"/>
      <c r="F1383" s="408"/>
      <c r="G1383" s="408"/>
      <c r="H1383" s="408">
        <f t="shared" si="74"/>
        <v>0</v>
      </c>
    </row>
    <row r="1384" spans="1:8" x14ac:dyDescent="0.2">
      <c r="C1384" s="163" t="s">
        <v>612</v>
      </c>
      <c r="D1384" s="406">
        <v>90780</v>
      </c>
      <c r="E1384" s="406"/>
      <c r="F1384" s="406">
        <v>1015</v>
      </c>
      <c r="G1384" s="406">
        <f>500+784</f>
        <v>1284</v>
      </c>
      <c r="H1384" s="406">
        <f t="shared" si="74"/>
        <v>93079</v>
      </c>
    </row>
    <row r="1385" spans="1:8" x14ac:dyDescent="0.2">
      <c r="C1385" s="103" t="s">
        <v>187</v>
      </c>
      <c r="D1385" s="411">
        <v>48040</v>
      </c>
      <c r="E1385" s="411"/>
      <c r="F1385" s="411"/>
      <c r="G1385" s="411">
        <v>586</v>
      </c>
      <c r="H1385" s="411">
        <f t="shared" si="74"/>
        <v>48626</v>
      </c>
    </row>
    <row r="1386" spans="1:8" x14ac:dyDescent="0.2">
      <c r="C1386" s="111"/>
      <c r="D1386" s="409"/>
      <c r="E1386" s="409"/>
      <c r="F1386" s="409"/>
      <c r="G1386" s="409"/>
      <c r="H1386" s="409">
        <f t="shared" si="74"/>
        <v>0</v>
      </c>
    </row>
    <row r="1387" spans="1:8" ht="15" x14ac:dyDescent="0.2">
      <c r="A1387" s="6" t="s">
        <v>682</v>
      </c>
      <c r="B1387" s="6" t="s">
        <v>32</v>
      </c>
      <c r="C1387" s="158" t="s">
        <v>217</v>
      </c>
      <c r="D1387" s="453">
        <f>D1388</f>
        <v>622010</v>
      </c>
      <c r="E1387" s="453">
        <f t="shared" ref="E1387:G1387" si="75">E1388</f>
        <v>20970</v>
      </c>
      <c r="F1387" s="453">
        <f t="shared" si="75"/>
        <v>200</v>
      </c>
      <c r="G1387" s="453">
        <f t="shared" si="75"/>
        <v>-1400</v>
      </c>
      <c r="H1387" s="453">
        <f t="shared" si="74"/>
        <v>641780</v>
      </c>
    </row>
    <row r="1388" spans="1:8" ht="25.5" x14ac:dyDescent="0.2">
      <c r="C1388" s="161" t="s">
        <v>283</v>
      </c>
      <c r="D1388" s="441">
        <f>D1390+D1394</f>
        <v>622010</v>
      </c>
      <c r="E1388" s="441">
        <f t="shared" ref="E1388:G1388" si="76">E1390+E1394</f>
        <v>20970</v>
      </c>
      <c r="F1388" s="441">
        <f t="shared" si="76"/>
        <v>200</v>
      </c>
      <c r="G1388" s="441">
        <f t="shared" si="76"/>
        <v>-1400</v>
      </c>
      <c r="H1388" s="441">
        <f t="shared" si="74"/>
        <v>641780</v>
      </c>
    </row>
    <row r="1389" spans="1:8" x14ac:dyDescent="0.2">
      <c r="C1389" s="162" t="s">
        <v>194</v>
      </c>
      <c r="D1389" s="408"/>
      <c r="E1389" s="408"/>
      <c r="F1389" s="408"/>
      <c r="G1389" s="408"/>
      <c r="H1389" s="408">
        <f t="shared" si="74"/>
        <v>0</v>
      </c>
    </row>
    <row r="1390" spans="1:8" x14ac:dyDescent="0.2">
      <c r="C1390" s="163" t="s">
        <v>574</v>
      </c>
      <c r="D1390" s="406">
        <v>226632</v>
      </c>
      <c r="E1390" s="406">
        <v>4464</v>
      </c>
      <c r="F1390" s="406"/>
      <c r="G1390" s="406"/>
      <c r="H1390" s="406">
        <f t="shared" si="74"/>
        <v>231096</v>
      </c>
    </row>
    <row r="1391" spans="1:8" x14ac:dyDescent="0.2">
      <c r="C1391" s="103" t="s">
        <v>187</v>
      </c>
      <c r="D1391" s="411">
        <v>115532</v>
      </c>
      <c r="E1391" s="411">
        <v>3336</v>
      </c>
      <c r="F1391" s="411"/>
      <c r="G1391" s="411"/>
      <c r="H1391" s="411">
        <f t="shared" si="74"/>
        <v>118868</v>
      </c>
    </row>
    <row r="1392" spans="1:8" x14ac:dyDescent="0.2">
      <c r="C1392" s="163"/>
      <c r="D1392" s="406"/>
      <c r="E1392" s="406"/>
      <c r="F1392" s="406"/>
      <c r="G1392" s="406"/>
      <c r="H1392" s="406">
        <f t="shared" si="74"/>
        <v>0</v>
      </c>
    </row>
    <row r="1393" spans="1:8" x14ac:dyDescent="0.2">
      <c r="C1393" s="162" t="s">
        <v>194</v>
      </c>
      <c r="D1393" s="408"/>
      <c r="E1393" s="408"/>
      <c r="F1393" s="408"/>
      <c r="G1393" s="408"/>
      <c r="H1393" s="408">
        <f t="shared" si="74"/>
        <v>0</v>
      </c>
    </row>
    <row r="1394" spans="1:8" x14ac:dyDescent="0.2">
      <c r="C1394" s="253" t="s">
        <v>616</v>
      </c>
      <c r="D1394" s="417">
        <v>395378</v>
      </c>
      <c r="E1394" s="417">
        <v>16506</v>
      </c>
      <c r="F1394" s="417">
        <v>200</v>
      </c>
      <c r="G1394" s="417">
        <v>-1400</v>
      </c>
      <c r="H1394" s="417">
        <f t="shared" si="74"/>
        <v>410684</v>
      </c>
    </row>
    <row r="1395" spans="1:8" x14ac:dyDescent="0.2">
      <c r="C1395" s="160" t="s">
        <v>187</v>
      </c>
      <c r="D1395" s="415">
        <v>272614</v>
      </c>
      <c r="E1395" s="415">
        <v>12336</v>
      </c>
      <c r="F1395" s="415"/>
      <c r="G1395" s="415"/>
      <c r="H1395" s="415">
        <f t="shared" si="74"/>
        <v>284950</v>
      </c>
    </row>
    <row r="1396" spans="1:8" x14ac:dyDescent="0.2">
      <c r="C1396" s="96"/>
      <c r="D1396" s="72"/>
      <c r="E1396" s="72"/>
      <c r="F1396" s="72"/>
      <c r="G1396" s="72"/>
      <c r="H1396" s="72">
        <f t="shared" si="74"/>
        <v>0</v>
      </c>
    </row>
    <row r="1397" spans="1:8" ht="15" x14ac:dyDescent="0.2">
      <c r="A1397" s="6" t="s">
        <v>687</v>
      </c>
      <c r="B1397" s="6" t="s">
        <v>32</v>
      </c>
      <c r="C1397" s="158" t="s">
        <v>277</v>
      </c>
      <c r="D1397" s="453">
        <f>D1398</f>
        <v>231600</v>
      </c>
      <c r="E1397" s="453"/>
      <c r="F1397" s="453">
        <f>F1398</f>
        <v>0</v>
      </c>
      <c r="G1397" s="453">
        <f>G1398</f>
        <v>11850</v>
      </c>
      <c r="H1397" s="453">
        <f t="shared" si="74"/>
        <v>243450</v>
      </c>
    </row>
    <row r="1398" spans="1:8" x14ac:dyDescent="0.2">
      <c r="C1398" s="112" t="s">
        <v>278</v>
      </c>
      <c r="D1398" s="283">
        <f>225000+6600</f>
        <v>231600</v>
      </c>
      <c r="E1398" s="283"/>
      <c r="F1398" s="283"/>
      <c r="G1398" s="283">
        <v>11850</v>
      </c>
      <c r="H1398" s="283">
        <f t="shared" si="74"/>
        <v>243450</v>
      </c>
    </row>
    <row r="1399" spans="1:8" x14ac:dyDescent="0.2">
      <c r="C1399" s="99"/>
      <c r="D1399" s="71"/>
      <c r="E1399" s="71"/>
      <c r="F1399" s="71"/>
      <c r="G1399" s="71"/>
      <c r="H1399" s="71">
        <f t="shared" si="74"/>
        <v>0</v>
      </c>
    </row>
    <row r="1400" spans="1:8" x14ac:dyDescent="0.2">
      <c r="C1400" s="166" t="s">
        <v>186</v>
      </c>
      <c r="D1400" s="447">
        <f>D1402+D1405+D1409+D1413+D1417+D1419+D1421+D1407+D1415</f>
        <v>2530113</v>
      </c>
      <c r="E1400" s="447"/>
      <c r="F1400" s="447">
        <f>F1402+F1405+F1409+F1413+F1417+F1419+F1421+F1407+F1415</f>
        <v>16768</v>
      </c>
      <c r="G1400" s="447">
        <f>G1402+G1405+G1409+G1413+G1417+G1419+G1421+G1407+G1415</f>
        <v>22030</v>
      </c>
      <c r="H1400" s="447">
        <f t="shared" si="74"/>
        <v>2568911</v>
      </c>
    </row>
    <row r="1401" spans="1:8" x14ac:dyDescent="0.2">
      <c r="C1401" s="166"/>
      <c r="D1401" s="447"/>
      <c r="E1401" s="447"/>
      <c r="F1401" s="447"/>
      <c r="G1401" s="447"/>
      <c r="H1401" s="447">
        <f t="shared" si="74"/>
        <v>0</v>
      </c>
    </row>
    <row r="1402" spans="1:8" x14ac:dyDescent="0.2">
      <c r="A1402" s="6" t="s">
        <v>676</v>
      </c>
      <c r="B1402" s="6" t="s">
        <v>32</v>
      </c>
      <c r="C1402" s="101" t="s">
        <v>284</v>
      </c>
      <c r="D1402" s="406">
        <f>1578147+4599</f>
        <v>1582746</v>
      </c>
      <c r="E1402" s="406"/>
      <c r="F1402" s="406">
        <v>16768</v>
      </c>
      <c r="G1402" s="406">
        <f>23124-2194</f>
        <v>20930</v>
      </c>
      <c r="H1402" s="406">
        <f t="shared" si="74"/>
        <v>1620444</v>
      </c>
    </row>
    <row r="1403" spans="1:8" x14ac:dyDescent="0.2">
      <c r="C1403" s="93" t="s">
        <v>187</v>
      </c>
      <c r="D1403" s="411">
        <f>1017231+3401</f>
        <v>1020632</v>
      </c>
      <c r="E1403" s="411"/>
      <c r="F1403" s="411">
        <v>7140</v>
      </c>
      <c r="G1403" s="411">
        <v>-1640</v>
      </c>
      <c r="H1403" s="411">
        <f t="shared" si="74"/>
        <v>1026132</v>
      </c>
    </row>
    <row r="1404" spans="1:8" x14ac:dyDescent="0.2">
      <c r="C1404" s="148"/>
      <c r="D1404" s="409"/>
      <c r="E1404" s="409"/>
      <c r="F1404" s="409"/>
      <c r="G1404" s="409"/>
      <c r="H1404" s="409">
        <f t="shared" si="74"/>
        <v>0</v>
      </c>
    </row>
    <row r="1405" spans="1:8" ht="25.5" x14ac:dyDescent="0.2">
      <c r="A1405" s="6" t="s">
        <v>679</v>
      </c>
      <c r="B1405" s="6" t="s">
        <v>32</v>
      </c>
      <c r="C1405" s="167" t="s">
        <v>864</v>
      </c>
      <c r="D1405" s="454">
        <v>55000</v>
      </c>
      <c r="E1405" s="454"/>
      <c r="F1405" s="454">
        <v>10000</v>
      </c>
      <c r="G1405" s="454"/>
      <c r="H1405" s="454">
        <f t="shared" si="74"/>
        <v>65000</v>
      </c>
    </row>
    <row r="1406" spans="1:8" x14ac:dyDescent="0.2">
      <c r="C1406" s="167"/>
      <c r="D1406" s="454"/>
      <c r="E1406" s="454"/>
      <c r="F1406" s="454"/>
      <c r="G1406" s="454"/>
      <c r="H1406" s="454">
        <f t="shared" si="74"/>
        <v>0</v>
      </c>
    </row>
    <row r="1407" spans="1:8" x14ac:dyDescent="0.2">
      <c r="A1407" s="6" t="s">
        <v>682</v>
      </c>
      <c r="B1407" s="6" t="s">
        <v>32</v>
      </c>
      <c r="C1407" s="167" t="s">
        <v>33</v>
      </c>
      <c r="D1407" s="454">
        <v>112240</v>
      </c>
      <c r="E1407" s="454"/>
      <c r="F1407" s="454"/>
      <c r="G1407" s="454"/>
      <c r="H1407" s="454">
        <f t="shared" si="74"/>
        <v>112240</v>
      </c>
    </row>
    <row r="1408" spans="1:8" x14ac:dyDescent="0.2">
      <c r="C1408" s="174"/>
      <c r="D1408" s="420"/>
      <c r="E1408" s="420"/>
      <c r="F1408" s="420"/>
      <c r="G1408" s="420"/>
      <c r="H1408" s="420">
        <f t="shared" si="74"/>
        <v>0</v>
      </c>
    </row>
    <row r="1409" spans="1:8" x14ac:dyDescent="0.2">
      <c r="A1409" s="6" t="s">
        <v>682</v>
      </c>
      <c r="B1409" s="6" t="s">
        <v>32</v>
      </c>
      <c r="C1409" s="90" t="s">
        <v>13</v>
      </c>
      <c r="D1409" s="72">
        <f>D1410+D1411</f>
        <v>4127</v>
      </c>
      <c r="E1409" s="72"/>
      <c r="F1409" s="72"/>
      <c r="G1409" s="72">
        <v>4300</v>
      </c>
      <c r="H1409" s="72">
        <f t="shared" si="74"/>
        <v>8427</v>
      </c>
    </row>
    <row r="1410" spans="1:8" ht="33.75" x14ac:dyDescent="0.2">
      <c r="C1410" s="153" t="s">
        <v>469</v>
      </c>
      <c r="D1410" s="437">
        <v>2098</v>
      </c>
      <c r="E1410" s="437"/>
      <c r="F1410" s="437"/>
      <c r="G1410" s="437"/>
      <c r="H1410" s="437">
        <f t="shared" si="74"/>
        <v>2098</v>
      </c>
    </row>
    <row r="1411" spans="1:8" ht="33.75" x14ac:dyDescent="0.2">
      <c r="C1411" s="173" t="s">
        <v>520</v>
      </c>
      <c r="D1411" s="437">
        <v>2029</v>
      </c>
      <c r="E1411" s="437"/>
      <c r="F1411" s="437"/>
      <c r="G1411" s="437"/>
      <c r="H1411" s="437">
        <f t="shared" si="74"/>
        <v>2029</v>
      </c>
    </row>
    <row r="1412" spans="1:8" x14ac:dyDescent="0.2">
      <c r="C1412" s="90"/>
      <c r="D1412" s="72"/>
      <c r="E1412" s="72"/>
      <c r="F1412" s="72"/>
      <c r="G1412" s="72"/>
      <c r="H1412" s="72">
        <f t="shared" si="74"/>
        <v>0</v>
      </c>
    </row>
    <row r="1413" spans="1:8" x14ac:dyDescent="0.2">
      <c r="A1413" s="6" t="s">
        <v>687</v>
      </c>
      <c r="B1413" s="6" t="s">
        <v>32</v>
      </c>
      <c r="C1413" s="104" t="s">
        <v>285</v>
      </c>
      <c r="D1413" s="417">
        <v>35000</v>
      </c>
      <c r="E1413" s="417"/>
      <c r="F1413" s="417"/>
      <c r="G1413" s="417"/>
      <c r="H1413" s="417">
        <f t="shared" si="74"/>
        <v>35000</v>
      </c>
    </row>
    <row r="1414" spans="1:8" x14ac:dyDescent="0.2">
      <c r="C1414" s="104"/>
      <c r="D1414" s="417"/>
      <c r="E1414" s="417"/>
      <c r="F1414" s="417"/>
      <c r="G1414" s="417"/>
      <c r="H1414" s="417">
        <f t="shared" si="74"/>
        <v>0</v>
      </c>
    </row>
    <row r="1415" spans="1:8" x14ac:dyDescent="0.2">
      <c r="A1415" s="6" t="s">
        <v>687</v>
      </c>
      <c r="B1415" s="6" t="s">
        <v>32</v>
      </c>
      <c r="C1415" s="167" t="s">
        <v>464</v>
      </c>
      <c r="D1415" s="454">
        <v>70000</v>
      </c>
      <c r="E1415" s="454"/>
      <c r="F1415" s="454"/>
      <c r="G1415" s="454"/>
      <c r="H1415" s="454">
        <f t="shared" si="74"/>
        <v>70000</v>
      </c>
    </row>
    <row r="1416" spans="1:8" x14ac:dyDescent="0.2">
      <c r="C1416" s="104"/>
      <c r="D1416" s="417"/>
      <c r="E1416" s="417"/>
      <c r="F1416" s="417"/>
      <c r="G1416" s="417"/>
      <c r="H1416" s="417">
        <f t="shared" si="74"/>
        <v>0</v>
      </c>
    </row>
    <row r="1417" spans="1:8" x14ac:dyDescent="0.2">
      <c r="A1417" s="6" t="s">
        <v>683</v>
      </c>
      <c r="B1417" s="6" t="s">
        <v>32</v>
      </c>
      <c r="C1417" s="92" t="s">
        <v>288</v>
      </c>
      <c r="D1417" s="388">
        <v>340000</v>
      </c>
      <c r="E1417" s="388"/>
      <c r="F1417" s="388"/>
      <c r="G1417" s="388">
        <v>-23500</v>
      </c>
      <c r="H1417" s="388">
        <f t="shared" si="74"/>
        <v>316500</v>
      </c>
    </row>
    <row r="1418" spans="1:8" x14ac:dyDescent="0.2">
      <c r="C1418" s="99"/>
      <c r="D1418" s="71"/>
      <c r="E1418" s="71"/>
      <c r="F1418" s="71"/>
      <c r="G1418" s="71"/>
      <c r="H1418" s="71">
        <f t="shared" si="74"/>
        <v>0</v>
      </c>
    </row>
    <row r="1419" spans="1:8" x14ac:dyDescent="0.2">
      <c r="A1419" s="6" t="s">
        <v>683</v>
      </c>
      <c r="B1419" s="6" t="s">
        <v>32</v>
      </c>
      <c r="C1419" s="92" t="s">
        <v>289</v>
      </c>
      <c r="D1419" s="388">
        <v>276000</v>
      </c>
      <c r="E1419" s="388"/>
      <c r="F1419" s="388"/>
      <c r="G1419" s="388">
        <v>20300</v>
      </c>
      <c r="H1419" s="388">
        <f t="shared" si="74"/>
        <v>296300</v>
      </c>
    </row>
    <row r="1420" spans="1:8" x14ac:dyDescent="0.2">
      <c r="C1420" s="148"/>
      <c r="D1420" s="409"/>
      <c r="E1420" s="409"/>
      <c r="F1420" s="409"/>
      <c r="G1420" s="409"/>
      <c r="H1420" s="409">
        <f t="shared" si="74"/>
        <v>0</v>
      </c>
    </row>
    <row r="1421" spans="1:8" x14ac:dyDescent="0.2">
      <c r="A1421" s="6" t="s">
        <v>692</v>
      </c>
      <c r="B1421" s="6" t="s">
        <v>32</v>
      </c>
      <c r="C1421" s="92" t="s">
        <v>27</v>
      </c>
      <c r="D1421" s="388">
        <v>55000</v>
      </c>
      <c r="E1421" s="388"/>
      <c r="F1421" s="388">
        <v>-10000</v>
      </c>
      <c r="G1421" s="388"/>
      <c r="H1421" s="388">
        <f t="shared" si="74"/>
        <v>45000</v>
      </c>
    </row>
    <row r="1422" spans="1:8" x14ac:dyDescent="0.2">
      <c r="C1422" s="6"/>
      <c r="D1422" s="72"/>
      <c r="E1422" s="72"/>
      <c r="F1422" s="72"/>
      <c r="G1422" s="72"/>
      <c r="H1422" s="72">
        <f t="shared" si="74"/>
        <v>0</v>
      </c>
    </row>
    <row r="1423" spans="1:8" x14ac:dyDescent="0.2">
      <c r="C1423" s="6"/>
      <c r="D1423" s="72"/>
      <c r="E1423" s="72"/>
      <c r="F1423" s="72"/>
      <c r="G1423" s="72"/>
      <c r="H1423" s="72">
        <f t="shared" si="74"/>
        <v>0</v>
      </c>
    </row>
    <row r="1424" spans="1:8" ht="15.75" x14ac:dyDescent="0.2">
      <c r="C1424" s="118" t="s">
        <v>34</v>
      </c>
      <c r="D1424" s="407"/>
      <c r="E1424" s="407"/>
      <c r="F1424" s="407"/>
      <c r="G1424" s="407"/>
      <c r="H1424" s="407">
        <f t="shared" si="74"/>
        <v>0</v>
      </c>
    </row>
    <row r="1425" spans="1:8" x14ac:dyDescent="0.2">
      <c r="C1425" s="92"/>
      <c r="D1425" s="388"/>
      <c r="E1425" s="388"/>
      <c r="F1425" s="388"/>
      <c r="G1425" s="388"/>
      <c r="H1425" s="388">
        <f t="shared" si="74"/>
        <v>0</v>
      </c>
    </row>
    <row r="1426" spans="1:8" x14ac:dyDescent="0.2">
      <c r="A1426" s="6" t="s">
        <v>693</v>
      </c>
      <c r="C1426" s="91" t="s">
        <v>35</v>
      </c>
      <c r="D1426" s="449">
        <v>5000000</v>
      </c>
      <c r="E1426" s="449"/>
      <c r="F1426" s="449">
        <f>-100000-239145+16678+44000+63000+23775-249000-11239-111000-38000-205000</f>
        <v>-805931</v>
      </c>
      <c r="G1426" s="449">
        <v>-90000</v>
      </c>
      <c r="H1426" s="449">
        <f t="shared" si="74"/>
        <v>4104069</v>
      </c>
    </row>
    <row r="1427" spans="1:8" x14ac:dyDescent="0.2">
      <c r="C1427" s="91"/>
      <c r="D1427" s="449"/>
      <c r="E1427" s="449"/>
      <c r="F1427" s="449"/>
      <c r="G1427" s="449"/>
      <c r="H1427" s="449">
        <f t="shared" si="74"/>
        <v>0</v>
      </c>
    </row>
    <row r="1428" spans="1:8" x14ac:dyDescent="0.2">
      <c r="C1428" s="91" t="s">
        <v>670</v>
      </c>
      <c r="D1428" s="449">
        <v>700000</v>
      </c>
      <c r="E1428" s="449">
        <v>-675454</v>
      </c>
      <c r="F1428" s="449">
        <v>-24546</v>
      </c>
      <c r="G1428" s="449"/>
      <c r="H1428" s="449">
        <f t="shared" si="74"/>
        <v>0</v>
      </c>
    </row>
    <row r="1429" spans="1:8" x14ac:dyDescent="0.2">
      <c r="C1429" s="272" t="s">
        <v>187</v>
      </c>
      <c r="D1429" s="458">
        <v>523169</v>
      </c>
      <c r="E1429" s="458">
        <v>-504815</v>
      </c>
      <c r="F1429" s="458">
        <v>-18354</v>
      </c>
      <c r="G1429" s="458"/>
      <c r="H1429" s="458">
        <f t="shared" si="74"/>
        <v>0</v>
      </c>
    </row>
    <row r="1430" spans="1:8" ht="25.5" x14ac:dyDescent="0.2">
      <c r="C1430" s="271" t="s">
        <v>668</v>
      </c>
      <c r="D1430" s="414"/>
      <c r="E1430" s="414"/>
      <c r="F1430" s="414"/>
      <c r="G1430" s="414"/>
      <c r="H1430" s="414">
        <f t="shared" si="74"/>
        <v>0</v>
      </c>
    </row>
    <row r="1431" spans="1:8" ht="38.25" x14ac:dyDescent="0.2">
      <c r="C1431" s="97" t="s">
        <v>669</v>
      </c>
      <c r="D1431" s="414"/>
      <c r="E1431" s="414"/>
      <c r="F1431" s="414"/>
      <c r="G1431" s="414"/>
      <c r="H1431" s="414">
        <f t="shared" si="74"/>
        <v>0</v>
      </c>
    </row>
    <row r="1432" spans="1:8" x14ac:dyDescent="0.2">
      <c r="C1432" s="97"/>
      <c r="D1432" s="414"/>
      <c r="E1432" s="414"/>
      <c r="F1432" s="414"/>
      <c r="G1432" s="414"/>
      <c r="H1432" s="414">
        <f t="shared" si="74"/>
        <v>0</v>
      </c>
    </row>
    <row r="1433" spans="1:8" ht="38.25" x14ac:dyDescent="0.2">
      <c r="C1433" s="97" t="s">
        <v>671</v>
      </c>
      <c r="D1433" s="414"/>
      <c r="E1433" s="414"/>
      <c r="F1433" s="414"/>
      <c r="G1433" s="414"/>
      <c r="H1433" s="414">
        <f t="shared" si="74"/>
        <v>0</v>
      </c>
    </row>
    <row r="1434" spans="1:8" x14ac:dyDescent="0.2">
      <c r="C1434" s="200"/>
      <c r="D1434" s="449"/>
      <c r="E1434" s="449"/>
      <c r="F1434" s="449"/>
      <c r="G1434" s="449"/>
      <c r="H1434" s="449">
        <f t="shared" si="74"/>
        <v>0</v>
      </c>
    </row>
    <row r="1435" spans="1:8" x14ac:dyDescent="0.2">
      <c r="C1435" s="91" t="s">
        <v>521</v>
      </c>
      <c r="D1435" s="449">
        <f>D1436+D1437</f>
        <v>4515000</v>
      </c>
      <c r="E1435" s="449">
        <f t="shared" ref="E1435:G1435" si="77">E1436+E1437</f>
        <v>0</v>
      </c>
      <c r="F1435" s="449">
        <f t="shared" si="77"/>
        <v>-276327</v>
      </c>
      <c r="G1435" s="449">
        <f t="shared" si="77"/>
        <v>-247970</v>
      </c>
      <c r="H1435" s="449">
        <f t="shared" si="74"/>
        <v>3990703</v>
      </c>
    </row>
    <row r="1436" spans="1:8" x14ac:dyDescent="0.2">
      <c r="A1436" s="6" t="s">
        <v>694</v>
      </c>
      <c r="C1436" s="200" t="s">
        <v>36</v>
      </c>
      <c r="D1436" s="449">
        <v>1490000</v>
      </c>
      <c r="E1436" s="449"/>
      <c r="F1436" s="449"/>
      <c r="G1436" s="449">
        <f>-40000-10000-3000</f>
        <v>-53000</v>
      </c>
      <c r="H1436" s="449">
        <f t="shared" si="74"/>
        <v>1437000</v>
      </c>
    </row>
    <row r="1437" spans="1:8" x14ac:dyDescent="0.2">
      <c r="A1437" s="6" t="s">
        <v>695</v>
      </c>
      <c r="C1437" s="200" t="s">
        <v>53</v>
      </c>
      <c r="D1437" s="449">
        <f>SUM(D1438:D1441)</f>
        <v>3025000</v>
      </c>
      <c r="E1437" s="449">
        <f t="shared" ref="E1437:G1437" si="78">SUM(E1438:E1441)</f>
        <v>0</v>
      </c>
      <c r="F1437" s="449">
        <f t="shared" si="78"/>
        <v>-276327</v>
      </c>
      <c r="G1437" s="449">
        <f t="shared" si="78"/>
        <v>-194970</v>
      </c>
      <c r="H1437" s="449">
        <f t="shared" si="74"/>
        <v>2553703</v>
      </c>
    </row>
    <row r="1438" spans="1:8" x14ac:dyDescent="0.2">
      <c r="C1438" s="206" t="s">
        <v>37</v>
      </c>
      <c r="D1438" s="388">
        <f>2500000-875000</f>
        <v>1625000</v>
      </c>
      <c r="E1438" s="388"/>
      <c r="F1438" s="388">
        <v>-100800</v>
      </c>
      <c r="G1438" s="388">
        <f>-174970-20000</f>
        <v>-194970</v>
      </c>
      <c r="H1438" s="388">
        <f t="shared" si="74"/>
        <v>1329230</v>
      </c>
    </row>
    <row r="1439" spans="1:8" x14ac:dyDescent="0.2">
      <c r="C1439" s="202" t="s">
        <v>14</v>
      </c>
      <c r="D1439" s="72">
        <v>100000</v>
      </c>
      <c r="E1439" s="72"/>
      <c r="F1439" s="72"/>
      <c r="G1439" s="72"/>
      <c r="H1439" s="72">
        <f t="shared" si="74"/>
        <v>100000</v>
      </c>
    </row>
    <row r="1440" spans="1:8" ht="25.5" x14ac:dyDescent="0.2">
      <c r="C1440" s="201" t="s">
        <v>38</v>
      </c>
      <c r="D1440" s="414">
        <v>100000</v>
      </c>
      <c r="E1440" s="414"/>
      <c r="F1440" s="414"/>
      <c r="G1440" s="414"/>
      <c r="H1440" s="414">
        <f t="shared" si="74"/>
        <v>100000</v>
      </c>
    </row>
    <row r="1441" spans="1:8" ht="38.25" x14ac:dyDescent="0.2">
      <c r="C1441" s="207" t="s">
        <v>577</v>
      </c>
      <c r="D1441" s="391">
        <f>200000+1000000</f>
        <v>1200000</v>
      </c>
      <c r="E1441" s="391"/>
      <c r="F1441" s="391">
        <f>-28000-147527</f>
        <v>-175527</v>
      </c>
      <c r="G1441" s="391"/>
      <c r="H1441" s="391">
        <f t="shared" si="74"/>
        <v>1024473</v>
      </c>
    </row>
    <row r="1442" spans="1:8" ht="33.75" x14ac:dyDescent="0.2">
      <c r="C1442" s="174" t="s">
        <v>515</v>
      </c>
      <c r="D1442" s="420"/>
      <c r="E1442" s="420"/>
      <c r="F1442" s="420"/>
      <c r="G1442" s="420"/>
      <c r="H1442" s="420">
        <f t="shared" ref="H1442:H1450" si="79">SUM(D1442:G1442)</f>
        <v>0</v>
      </c>
    </row>
    <row r="1443" spans="1:8" x14ac:dyDescent="0.2">
      <c r="C1443" s="174"/>
      <c r="D1443" s="420"/>
      <c r="E1443" s="420"/>
      <c r="F1443" s="420"/>
      <c r="G1443" s="420"/>
      <c r="H1443" s="420">
        <f t="shared" si="79"/>
        <v>0</v>
      </c>
    </row>
    <row r="1444" spans="1:8" ht="38.25" x14ac:dyDescent="0.2">
      <c r="C1444" s="263" t="s">
        <v>830</v>
      </c>
      <c r="D1444" s="421">
        <v>366069</v>
      </c>
      <c r="E1444" s="421"/>
      <c r="F1444" s="421"/>
      <c r="G1444" s="421"/>
      <c r="H1444" s="421">
        <f t="shared" si="79"/>
        <v>366069</v>
      </c>
    </row>
    <row r="1445" spans="1:8" x14ac:dyDescent="0.2">
      <c r="C1445" s="93" t="s">
        <v>187</v>
      </c>
      <c r="D1445" s="411">
        <v>273186</v>
      </c>
      <c r="E1445" s="411"/>
      <c r="F1445" s="411"/>
      <c r="G1445" s="411"/>
      <c r="H1445" s="411">
        <f t="shared" si="79"/>
        <v>273186</v>
      </c>
    </row>
    <row r="1446" spans="1:8" x14ac:dyDescent="0.2">
      <c r="C1446" s="174"/>
      <c r="D1446" s="420"/>
      <c r="E1446" s="420"/>
      <c r="F1446" s="420"/>
      <c r="G1446" s="420"/>
      <c r="H1446" s="420">
        <f t="shared" si="79"/>
        <v>0</v>
      </c>
    </row>
    <row r="1447" spans="1:8" x14ac:dyDescent="0.2">
      <c r="A1447" s="6" t="s">
        <v>696</v>
      </c>
      <c r="C1447" s="40" t="s">
        <v>54</v>
      </c>
      <c r="D1447" s="283">
        <v>74000000</v>
      </c>
      <c r="E1447" s="283"/>
      <c r="F1447" s="283"/>
      <c r="G1447" s="283"/>
      <c r="H1447" s="283">
        <f t="shared" si="79"/>
        <v>74000000</v>
      </c>
    </row>
    <row r="1448" spans="1:8" x14ac:dyDescent="0.2">
      <c r="C1448" s="40"/>
      <c r="D1448" s="283"/>
      <c r="E1448" s="283"/>
      <c r="F1448" s="283"/>
      <c r="G1448" s="283"/>
      <c r="H1448" s="283">
        <f t="shared" si="79"/>
        <v>0</v>
      </c>
    </row>
    <row r="1449" spans="1:8" x14ac:dyDescent="0.2">
      <c r="C1449" s="40" t="s">
        <v>639</v>
      </c>
      <c r="D1449" s="283">
        <v>3500000</v>
      </c>
      <c r="E1449" s="283"/>
      <c r="F1449" s="283">
        <v>42345</v>
      </c>
      <c r="G1449" s="283">
        <v>-491827</v>
      </c>
      <c r="H1449" s="283">
        <f t="shared" si="79"/>
        <v>3050518</v>
      </c>
    </row>
    <row r="1450" spans="1:8" x14ac:dyDescent="0.2">
      <c r="C1450" s="40"/>
      <c r="D1450" s="283"/>
      <c r="E1450" s="283"/>
      <c r="F1450" s="283"/>
      <c r="G1450" s="283"/>
      <c r="H1450" s="283">
        <f t="shared" si="79"/>
        <v>0</v>
      </c>
    </row>
    <row r="1451" spans="1:8" ht="15.75" x14ac:dyDescent="0.2">
      <c r="C1451" s="41" t="s">
        <v>144</v>
      </c>
      <c r="D1451" s="42">
        <f ca="1">SUMIF($C$6:D1446,$C$8,D6:D1447)+D1426+D1435+D1447+D1444+D1449+D1428</f>
        <v>450515084</v>
      </c>
      <c r="E1451" s="42">
        <f ca="1">SUMIF($C$6:E1446,$C$8,E6:E1447)+E1426+E1435+E1447+E1444+E1449+E1428</f>
        <v>0</v>
      </c>
      <c r="F1451" s="42">
        <f ca="1">SUMIF($C$6:F1446,$C$8,F6:F1447)+F1426+F1435+F1447+F1444+F1449+F1428</f>
        <v>1025624</v>
      </c>
      <c r="G1451" s="42">
        <f ca="1">SUMIF($C$6:G1446,$C$8,G6:G1447)+G1426+G1435+G1447+G1444+G1449+G1428</f>
        <v>2129629</v>
      </c>
      <c r="H1451" s="42">
        <f ca="1">SUMIF($C$6:H1446,$C$8,H6:H1447)+H1426+H1435+H1447+H1444+H1449+H1428</f>
        <v>453670337</v>
      </c>
    </row>
    <row r="1452" spans="1:8" x14ac:dyDescent="0.2">
      <c r="C1452" s="258" t="s">
        <v>187</v>
      </c>
      <c r="D1452" s="5">
        <f ca="1">SUMIF('3 KULUD'!$C$8:D1451,$C$1452,'3 KULUD'!D8:D1451)-'3 KULUD'!D166-'3 KULUD'!D327-'3 KULUD'!D359-'3 KULUD'!D417-'3 KULUD'!D448-'3 KULUD'!D463-'3 KULUD'!D501-'3 KULUD'!D659-'3 KULUD'!D676-'3 KULUD'!D699-'3 KULUD'!D706-'3 KULUD'!D813-'3 KULUD'!D827-'3 KULUD'!D893-'3 KULUD'!D901-'3 KULUD'!D392-'3 KULUD'!D394-'3 KULUD'!D70-'3 KULUD'!D351-D149-D224</f>
        <v>95431292</v>
      </c>
      <c r="E1452" s="5">
        <f ca="1">SUMIF('3 KULUD'!$C$8:E1451,$C$1452,'3 KULUD'!E8:E1451)-'3 KULUD'!E166-'3 KULUD'!E327-'3 KULUD'!E359-'3 KULUD'!E417-'3 KULUD'!E448-'3 KULUD'!E463-'3 KULUD'!E501-'3 KULUD'!E659-'3 KULUD'!E676-'3 KULUD'!E699-'3 KULUD'!E706-'3 KULUD'!E813-'3 KULUD'!E827-'3 KULUD'!E893-'3 KULUD'!E901-'3 KULUD'!E392-'3 KULUD'!E394-'3 KULUD'!E70-'3 KULUD'!E351-E149-E224</f>
        <v>0</v>
      </c>
      <c r="F1452" s="5">
        <f ca="1">SUMIF('3 KULUD'!$C$8:F1451,$C$1452,'3 KULUD'!F8:F1451)-'3 KULUD'!F166-'3 KULUD'!F327-'3 KULUD'!F359-'3 KULUD'!F417-'3 KULUD'!F448-'3 KULUD'!F463-'3 KULUD'!F501-'3 KULUD'!F659-'3 KULUD'!F676-'3 KULUD'!F699-'3 KULUD'!F706-'3 KULUD'!F813-'3 KULUD'!F827-'3 KULUD'!F893-'3 KULUD'!F901-'3 KULUD'!F392-'3 KULUD'!F394-'3 KULUD'!F70-'3 KULUD'!F351-F149-F224</f>
        <v>969490</v>
      </c>
      <c r="G1452" s="5">
        <f ca="1">SUMIF('3 KULUD'!$C$8:G1451,$C$1452,'3 KULUD'!G8:G1451)-'3 KULUD'!G166-'3 KULUD'!G327-'3 KULUD'!G359-'3 KULUD'!G417-'3 KULUD'!G448-'3 KULUD'!G463-'3 KULUD'!G501-'3 KULUD'!G659-'3 KULUD'!G676-'3 KULUD'!G699-'3 KULUD'!G706-'3 KULUD'!G813-'3 KULUD'!G827-'3 KULUD'!G893-'3 KULUD'!G901-'3 KULUD'!G392-'3 KULUD'!G394-'3 KULUD'!G70-'3 KULUD'!G351-G149-G224</f>
        <v>1184255</v>
      </c>
      <c r="H1452" s="5">
        <f ca="1">SUMIF('3 KULUD'!$C$8:H1451,$C$1452,'3 KULUD'!H8:H1451)-'3 KULUD'!H166-'3 KULUD'!H327-'3 KULUD'!H359-'3 KULUD'!H417-'3 KULUD'!H448-'3 KULUD'!H463-'3 KULUD'!H501-'3 KULUD'!H659-'3 KULUD'!H676-'3 KULUD'!H699-'3 KULUD'!H706-'3 KULUD'!H813-'3 KULUD'!H827-'3 KULUD'!H893-'3 KULUD'!H901-'3 KULUD'!H392-'3 KULUD'!H394-'3 KULUD'!H70-'3 KULUD'!H351-H149-H224</f>
        <v>97585037</v>
      </c>
    </row>
    <row r="1453" spans="1:8" x14ac:dyDescent="0.2">
      <c r="C1453" s="33" t="s">
        <v>201</v>
      </c>
      <c r="D1453" s="439">
        <f ca="1">SUMIF($C$8:D1446,$C$9,D8:D1447)</f>
        <v>63529831</v>
      </c>
      <c r="E1453" s="439">
        <f ca="1">SUMIF($C$8:E1446,$C$9,E8:E1447)</f>
        <v>0</v>
      </c>
      <c r="F1453" s="439">
        <f ca="1">SUMIF($C$8:F1446,$C$9,F8:F1447)</f>
        <v>2353373</v>
      </c>
      <c r="G1453" s="439">
        <f ca="1">SUMIF($C$8:G1446,$C$9,G8:G1447)</f>
        <v>1397989</v>
      </c>
      <c r="H1453" s="439">
        <f ca="1">SUMIF($C$8:H1446,$C$9,H8:H1447)</f>
        <v>67281193</v>
      </c>
    </row>
    <row r="1454" spans="1:8" ht="15.75" x14ac:dyDescent="0.25">
      <c r="C1454" s="34" t="s">
        <v>183</v>
      </c>
      <c r="D1454" s="412">
        <f ca="1">SUMIF($C$6:D1446,$C$10,D6:D1447)+D1426+D1435+D1447+D1444+D1449+D1428</f>
        <v>450515084</v>
      </c>
      <c r="E1454" s="412">
        <f ca="1">SUMIF($C$6:E1446,$C$10,E6:E1447)+E1426+E1435+E1447+E1444+E1449+E1428</f>
        <v>0</v>
      </c>
      <c r="F1454" s="412">
        <f ca="1">SUMIF($C$6:F1446,$C$10,F6:F1447)+F1426+F1435+F1447+F1444+F1449+F1428</f>
        <v>1025624</v>
      </c>
      <c r="G1454" s="412">
        <f ca="1">SUMIF($C$6:G1446,$C$10,G6:G1447)+G1426+G1435+G1447+G1444+G1449+G1428</f>
        <v>2129629</v>
      </c>
      <c r="H1454" s="412">
        <f ca="1">SUMIF($C$6:H1446,$C$10,H6:H1447)+H1426+H1435+H1447+H1444+H1449+H1428</f>
        <v>453670337</v>
      </c>
    </row>
    <row r="1455" spans="1:8" x14ac:dyDescent="0.2">
      <c r="C1455" s="35" t="s">
        <v>184</v>
      </c>
      <c r="D1455" s="409">
        <f ca="1">SUMIF($C$6:D1446,$C$1455,D6:D1447)</f>
        <v>55816328</v>
      </c>
      <c r="E1455" s="409">
        <f ca="1">SUMIF($C$6:E1446,$C$1455,E6:E1447)</f>
        <v>0</v>
      </c>
      <c r="F1455" s="409">
        <f ca="1">SUMIF($C$6:F1446,$C$1455,F6:F1447)</f>
        <v>876436</v>
      </c>
      <c r="G1455" s="409">
        <f ca="1">SUMIF($C$6:G1446,$C$1455,G6:G1447)</f>
        <v>1240576</v>
      </c>
      <c r="H1455" s="409">
        <f ca="1">SUMIF($C$6:H1446,$C$1455,H6:H1447)</f>
        <v>57933340</v>
      </c>
    </row>
    <row r="1456" spans="1:8" x14ac:dyDescent="0.2">
      <c r="C1456" s="36" t="s">
        <v>165</v>
      </c>
      <c r="D1456" s="409">
        <f ca="1">SUMIF($C$6:D1446,$C$1456,D6:D1447)</f>
        <v>142675</v>
      </c>
      <c r="E1456" s="409">
        <f ca="1">SUMIF($C$6:E1446,$C$1456,E6:E1447)</f>
        <v>0</v>
      </c>
      <c r="F1456" s="409">
        <f ca="1">SUMIF($C$6:F1446,$C$1456,F6:F1447)</f>
        <v>47892</v>
      </c>
      <c r="G1456" s="409">
        <f ca="1">SUMIF($C$6:G1446,$C$1456,G6:G1447)</f>
        <v>14938</v>
      </c>
      <c r="H1456" s="409">
        <f ca="1">SUMIF($C$6:H1446,$C$1456,H6:H1447)</f>
        <v>205505</v>
      </c>
    </row>
    <row r="1457" spans="3:8" x14ac:dyDescent="0.2">
      <c r="C1457" s="36" t="s">
        <v>15</v>
      </c>
      <c r="D1457" s="409">
        <f>D1447</f>
        <v>74000000</v>
      </c>
      <c r="E1457" s="409">
        <f>E1447</f>
        <v>0</v>
      </c>
      <c r="F1457" s="409">
        <f t="shared" ref="F1457:H1457" si="80">F1447</f>
        <v>0</v>
      </c>
      <c r="G1457" s="409">
        <f t="shared" si="80"/>
        <v>0</v>
      </c>
      <c r="H1457" s="409">
        <f t="shared" si="80"/>
        <v>74000000</v>
      </c>
    </row>
    <row r="1458" spans="3:8" x14ac:dyDescent="0.2">
      <c r="C1458" s="36" t="s">
        <v>185</v>
      </c>
      <c r="D1458" s="409">
        <f ca="1">SUMIF($C$6:D1446,$C$1458,D6:D1447)+D1426+D1435+D974+D1444+D1449+D1428</f>
        <v>320556081</v>
      </c>
      <c r="E1458" s="409">
        <f ca="1">SUMIF($C$6:E1446,$C$1458,E6:E1447)+E1426+E1435+E974+E1444+E1449+E1428</f>
        <v>0</v>
      </c>
      <c r="F1458" s="409">
        <f ca="1">SUMIF($C$6:F1446,$C$1458,F6:F1447)+F1426+F1435+F974+F1444+F1449+F1428</f>
        <v>101296</v>
      </c>
      <c r="G1458" s="409">
        <f ca="1">SUMIF($C$6:G1446,$C$1458,G6:G1447)+G1426+G1435+G974+G1444+G1449+G1428</f>
        <v>874115</v>
      </c>
      <c r="H1458" s="409">
        <f ca="1">SUMIF($C$6:H1446,$C$1458,H6:H1447)+H1426+H1435+H974+H1444+H1449+H1428</f>
        <v>321531492</v>
      </c>
    </row>
    <row r="1459" spans="3:8" x14ac:dyDescent="0.2">
      <c r="C1459" s="36"/>
      <c r="D1459" s="393"/>
      <c r="E1459" s="5"/>
      <c r="F1459" s="5"/>
      <c r="G1459" s="5"/>
      <c r="H1459" s="393"/>
    </row>
    <row r="1460" spans="3:8" x14ac:dyDescent="0.2">
      <c r="C1460" s="36"/>
      <c r="D1460" s="177"/>
      <c r="E1460" s="80"/>
      <c r="F1460" s="80"/>
      <c r="G1460" s="80"/>
      <c r="H1460" s="177"/>
    </row>
    <row r="1461" spans="3:8" x14ac:dyDescent="0.2">
      <c r="C1461" s="36"/>
      <c r="D1461" s="393"/>
      <c r="E1461" s="5"/>
      <c r="F1461" s="5"/>
      <c r="G1461" s="5"/>
      <c r="H1461" s="393">
        <f ca="1">H1455-'2.2 OMATULUD'!E808</f>
        <v>0</v>
      </c>
    </row>
    <row r="1462" spans="3:8" x14ac:dyDescent="0.2">
      <c r="C1462" s="36"/>
      <c r="D1462" s="393"/>
      <c r="E1462" s="5"/>
      <c r="F1462" s="5"/>
      <c r="G1462" s="5"/>
      <c r="H1462" s="393"/>
    </row>
    <row r="1463" spans="3:8" x14ac:dyDescent="0.2">
      <c r="C1463" s="36"/>
      <c r="D1463" s="393"/>
      <c r="E1463" s="5"/>
      <c r="F1463" s="5"/>
      <c r="G1463" s="5"/>
      <c r="H1463" s="393"/>
    </row>
    <row r="1464" spans="3:8" x14ac:dyDescent="0.2">
      <c r="C1464" s="6"/>
      <c r="D1464" s="399"/>
      <c r="E1464" s="44"/>
      <c r="F1464" s="43"/>
      <c r="G1464" s="43"/>
      <c r="H1464" s="399"/>
    </row>
    <row r="1465" spans="3:8" x14ac:dyDescent="0.2">
      <c r="C1465" s="273" t="s">
        <v>698</v>
      </c>
      <c r="D1465" s="400"/>
      <c r="E1465" s="45"/>
      <c r="F1465" s="283"/>
      <c r="G1465" s="283"/>
      <c r="H1465" s="400"/>
    </row>
    <row r="1466" spans="3:8" x14ac:dyDescent="0.2">
      <c r="C1466" s="274"/>
      <c r="E1466" s="30"/>
      <c r="F1466" s="279"/>
      <c r="G1466" s="279"/>
    </row>
    <row r="1467" spans="3:8" x14ac:dyDescent="0.2">
      <c r="C1467" s="4" t="s">
        <v>699</v>
      </c>
      <c r="D1467" s="178">
        <f ca="1">SUMIF($A$1:D$1449,$C1467,D$1:D$1449)</f>
        <v>2054247</v>
      </c>
      <c r="E1467" s="72">
        <f ca="1">SUMIF($A$1:E$1449,$C1467,E$1:E$1449)</f>
        <v>0</v>
      </c>
      <c r="F1467" s="72">
        <f ca="1">SUMIF($A$1:F$1449,$C1467,F$1:F$1449)</f>
        <v>170024</v>
      </c>
      <c r="G1467" s="72">
        <f ca="1">SUMIF($A$1:G$1449,$C1467,G$1:G$1449)</f>
        <v>0</v>
      </c>
      <c r="H1467" s="178">
        <f ca="1">SUMIF($A$1:H$1449,$C1467,H$1:H$1449)</f>
        <v>2224271</v>
      </c>
    </row>
    <row r="1468" spans="3:8" x14ac:dyDescent="0.2">
      <c r="C1468" s="4" t="s">
        <v>495</v>
      </c>
      <c r="D1468" s="178">
        <f ca="1">SUMIF($A$1:D$1449,$C1468,D$1:D$1449)</f>
        <v>31979697</v>
      </c>
      <c r="E1468" s="72">
        <f ca="1">SUMIF($A$1:E$1449,$C1468,E$1:E$1449)</f>
        <v>0</v>
      </c>
      <c r="F1468" s="72">
        <f ca="1">SUMIF($A$1:F$1449,$C1468,F$1:F$1449)</f>
        <v>263013</v>
      </c>
      <c r="G1468" s="72">
        <f ca="1">SUMIF($A$1:G$1449,$C1468,G$1:G$1449)</f>
        <v>-93776</v>
      </c>
      <c r="H1468" s="178">
        <f ca="1">SUMIF($A$1:H$1449,$C1468,H$1:H$1449)</f>
        <v>32148934</v>
      </c>
    </row>
    <row r="1469" spans="3:8" x14ac:dyDescent="0.2">
      <c r="C1469" s="4" t="s">
        <v>489</v>
      </c>
      <c r="D1469" s="178">
        <f ca="1">SUMIF($A$1:D$1449,$C1469,D$1:D$1449)</f>
        <v>114220462</v>
      </c>
      <c r="E1469" s="72">
        <f ca="1">SUMIF($A$1:E$1449,$C1469,E$1:E$1449)</f>
        <v>0</v>
      </c>
      <c r="F1469" s="72">
        <f ca="1">SUMIF($A$1:F$1449,$C1469,F$1:F$1449)</f>
        <v>692046</v>
      </c>
      <c r="G1469" s="72">
        <f ca="1">SUMIF($A$1:G$1449,$C1469,G$1:G$1449)</f>
        <v>2111441</v>
      </c>
      <c r="H1469" s="178">
        <f ca="1">SUMIF($A$1:H$1449,$C1469,H$1:H$1449)</f>
        <v>117023949</v>
      </c>
    </row>
    <row r="1470" spans="3:8" x14ac:dyDescent="0.2">
      <c r="C1470" s="4" t="s">
        <v>488</v>
      </c>
      <c r="D1470" s="178">
        <f ca="1">SUMIF($A$1:D$1449,$C1470,D$1:D$1449)</f>
        <v>23580576</v>
      </c>
      <c r="E1470" s="72">
        <f ca="1">SUMIF($A$1:E$1449,$C1470,E$1:E$1449)</f>
        <v>208180</v>
      </c>
      <c r="F1470" s="72">
        <f ca="1">SUMIF($A$1:F$1449,$C1470,F$1:F$1449)</f>
        <v>373741</v>
      </c>
      <c r="G1470" s="72">
        <f ca="1">SUMIF($A$1:G$1449,$C1470,G$1:G$1449)</f>
        <v>-192173</v>
      </c>
      <c r="H1470" s="178">
        <f ca="1">SUMIF($A$1:H$1449,$C1470,H$1:H$1449)</f>
        <v>23970324</v>
      </c>
    </row>
    <row r="1471" spans="3:8" x14ac:dyDescent="0.2">
      <c r="C1471" s="4" t="s">
        <v>490</v>
      </c>
      <c r="D1471" s="178">
        <f ca="1">SUMIF($A$1:D$1449,$C1471,D$1:D$1449)</f>
        <v>13462214</v>
      </c>
      <c r="E1471" s="72">
        <f ca="1">SUMIF($A$1:E$1449,$C1471,E$1:E$1449)</f>
        <v>0</v>
      </c>
      <c r="F1471" s="72">
        <f ca="1">SUMIF($A$1:F$1449,$C1471,F$1:F$1449)</f>
        <v>173597</v>
      </c>
      <c r="G1471" s="72">
        <f ca="1">SUMIF($A$1:G$1449,$C1471,G$1:G$1449)</f>
        <v>-6847</v>
      </c>
      <c r="H1471" s="178">
        <f ca="1">SUMIF($A$1:H$1449,$C1471,H$1:H$1449)</f>
        <v>13628964</v>
      </c>
    </row>
    <row r="1472" spans="3:8" x14ac:dyDescent="0.2">
      <c r="C1472" s="4" t="s">
        <v>700</v>
      </c>
      <c r="D1472" s="178">
        <f ca="1">SUMIF($A$1:D$1449,$C1472,D$1:D$1449)</f>
        <v>1544133</v>
      </c>
      <c r="E1472" s="72">
        <f ca="1">SUMIF($A$1:E$1449,$C1472,E$1:E$1449)</f>
        <v>0</v>
      </c>
      <c r="F1472" s="72">
        <f ca="1">SUMIF($A$1:F$1449,$C1472,F$1:F$1449)</f>
        <v>52291</v>
      </c>
      <c r="G1472" s="72">
        <f ca="1">SUMIF($A$1:G$1449,$C1472,G$1:G$1449)</f>
        <v>8065</v>
      </c>
      <c r="H1472" s="178">
        <f ca="1">SUMIF($A$1:H$1449,$C1472,H$1:H$1449)</f>
        <v>1604489</v>
      </c>
    </row>
    <row r="1473" spans="3:8" x14ac:dyDescent="0.2">
      <c r="C1473" s="4" t="s">
        <v>225</v>
      </c>
      <c r="D1473" s="178">
        <f ca="1">SUMIF($A$1:D$1449,$C1473,D$1:D$1449)</f>
        <v>32677157</v>
      </c>
      <c r="E1473" s="72">
        <f ca="1">SUMIF($A$1:E$1449,$C1473,E$1:E$1449)</f>
        <v>467274</v>
      </c>
      <c r="F1473" s="72">
        <f ca="1">SUMIF($A$1:F$1449,$C1473,F$1:F$1449)</f>
        <v>203205</v>
      </c>
      <c r="G1473" s="72">
        <f ca="1">SUMIF($A$1:G$1449,$C1473,G$1:G$1449)</f>
        <v>171443</v>
      </c>
      <c r="H1473" s="178">
        <f ca="1">SUMIF($A$1:H$1449,$C1473,H$1:H$1449)</f>
        <v>33519079</v>
      </c>
    </row>
    <row r="1474" spans="3:8" x14ac:dyDescent="0.2">
      <c r="C1474" s="4" t="s">
        <v>233</v>
      </c>
      <c r="D1474" s="178">
        <f ca="1">SUMIF($A$1:D$1449,$C1474,D$1:D$1449)</f>
        <v>1927190</v>
      </c>
      <c r="E1474" s="72">
        <f ca="1">SUMIF($A$1:E$1449,$C1474,E$1:E$1449)</f>
        <v>0</v>
      </c>
      <c r="F1474" s="72">
        <f ca="1">SUMIF($A$1:F$1449,$C1474,F$1:F$1449)</f>
        <v>32275</v>
      </c>
      <c r="G1474" s="72">
        <f ca="1">SUMIF($A$1:G$1449,$C1474,G$1:G$1449)</f>
        <v>36465</v>
      </c>
      <c r="H1474" s="178">
        <f ca="1">SUMIF($A$1:H$1449,$C1474,H$1:H$1449)</f>
        <v>1995930</v>
      </c>
    </row>
    <row r="1475" spans="3:8" x14ac:dyDescent="0.2">
      <c r="C1475" s="4" t="s">
        <v>491</v>
      </c>
      <c r="D1475" s="178">
        <f ca="1">SUMIF($A$1:D$1449,$C1475,D$1:D$1449)</f>
        <v>18960478</v>
      </c>
      <c r="E1475" s="72">
        <f ca="1">SUMIF($A$1:E$1449,$C1475,E$1:E$1449)</f>
        <v>0</v>
      </c>
      <c r="F1475" s="72">
        <f ca="1">SUMIF($A$1:F$1449,$C1475,F$1:F$1449)</f>
        <v>84311</v>
      </c>
      <c r="G1475" s="72">
        <f ca="1">SUMIF($A$1:G$1449,$C1475,G$1:G$1449)</f>
        <v>-129667</v>
      </c>
      <c r="H1475" s="178">
        <f ca="1">SUMIF($A$1:H$1449,$C1475,H$1:H$1449)</f>
        <v>18915122</v>
      </c>
    </row>
    <row r="1476" spans="3:8" x14ac:dyDescent="0.2">
      <c r="C1476" s="4" t="s">
        <v>701</v>
      </c>
      <c r="D1476" s="178">
        <f ca="1">SUMIF($A$1:D$1449,$C1476,D$1:D$1449)</f>
        <v>0</v>
      </c>
      <c r="E1476" s="72">
        <f ca="1">SUMIF($A$1:E$1449,$C1476,E$1:E$1449)</f>
        <v>0</v>
      </c>
      <c r="F1476" s="72">
        <f ca="1">SUMIF($A$1:F$1449,$C1476,F$1:F$1449)</f>
        <v>0</v>
      </c>
      <c r="G1476" s="72">
        <f ca="1">SUMIF($A$1:G$1449,$C1476,G$1:G$1449)</f>
        <v>200000</v>
      </c>
      <c r="H1476" s="178">
        <f ca="1">SUMIF($A$1:H$1449,$C1476,H$1:H$1449)</f>
        <v>200000</v>
      </c>
    </row>
    <row r="1477" spans="3:8" x14ac:dyDescent="0.2">
      <c r="C1477" s="4" t="s">
        <v>702</v>
      </c>
      <c r="D1477" s="178">
        <f ca="1">SUMIF($A$1:D$1449,$C1477,D$1:D$1449)</f>
        <v>4192004</v>
      </c>
      <c r="E1477" s="72">
        <f ca="1">SUMIF($A$1:E$1449,$C1477,E$1:E$1449)</f>
        <v>0</v>
      </c>
      <c r="F1477" s="72">
        <f ca="1">SUMIF($A$1:F$1449,$C1477,F$1:F$1449)</f>
        <v>-35000</v>
      </c>
      <c r="G1477" s="72">
        <f ca="1">SUMIF($A$1:G$1449,$C1477,G$1:G$1449)</f>
        <v>-102134</v>
      </c>
      <c r="H1477" s="178">
        <f ca="1">SUMIF($A$1:H$1449,$C1477,H$1:H$1449)</f>
        <v>4054870</v>
      </c>
    </row>
    <row r="1478" spans="3:8" x14ac:dyDescent="0.2">
      <c r="C1478" s="4" t="s">
        <v>651</v>
      </c>
      <c r="D1478" s="178">
        <f ca="1">SUMIF($A$1:D$1449,$C1478,D$1:D$1449)</f>
        <v>66982825</v>
      </c>
      <c r="E1478" s="72">
        <f ca="1">SUMIF($A$1:E$1449,$C1478,E$1:E$1449)</f>
        <v>0</v>
      </c>
      <c r="F1478" s="72">
        <f ca="1">SUMIF($A$1:F$1449,$C1478,F$1:F$1449)</f>
        <v>20000</v>
      </c>
      <c r="G1478" s="72">
        <f ca="1">SUMIF($A$1:G$1449,$C1478,G$1:G$1449)</f>
        <v>-16850</v>
      </c>
      <c r="H1478" s="178">
        <f ca="1">SUMIF($A$1:H$1449,$C1478,H$1:H$1449)</f>
        <v>66985975</v>
      </c>
    </row>
    <row r="1479" spans="3:8" x14ac:dyDescent="0.2">
      <c r="C1479" s="4" t="s">
        <v>493</v>
      </c>
      <c r="D1479" s="178">
        <f ca="1">SUMIF($A$1:D$1449,$C1479,D$1:D$1449)</f>
        <v>28044571</v>
      </c>
      <c r="E1479" s="72">
        <f ca="1">SUMIF($A$1:E$1449,$C1479,E$1:E$1449)</f>
        <v>0</v>
      </c>
      <c r="F1479" s="72">
        <f ca="1">SUMIF($A$1:F$1449,$C1479,F$1:F$1449)</f>
        <v>0</v>
      </c>
      <c r="G1479" s="72">
        <f ca="1">SUMIF($A$1:G$1449,$C1479,G$1:G$1449)</f>
        <v>503433</v>
      </c>
      <c r="H1479" s="178">
        <f ca="1">SUMIF($A$1:H$1449,$C1479,H$1:H$1449)</f>
        <v>28548004</v>
      </c>
    </row>
    <row r="1480" spans="3:8" x14ac:dyDescent="0.2">
      <c r="C1480" s="4" t="s">
        <v>492</v>
      </c>
      <c r="D1480" s="178">
        <f ca="1">SUMIF($A$1:D$1449,$C1480,D$1:D$1449)</f>
        <v>7924230</v>
      </c>
      <c r="E1480" s="72">
        <f ca="1">SUMIF($A$1:E$1449,$C1480,E$1:E$1449)</f>
        <v>0</v>
      </c>
      <c r="F1480" s="72">
        <f ca="1">SUMIF($A$1:F$1449,$C1480,F$1:F$1449)</f>
        <v>63465</v>
      </c>
      <c r="G1480" s="72">
        <f ca="1">SUMIF($A$1:G$1449,$C1480,G$1:G$1449)</f>
        <v>581103</v>
      </c>
      <c r="H1480" s="178">
        <f ca="1">SUMIF($A$1:H$1449,$C1480,H$1:H$1449)</f>
        <v>8568798</v>
      </c>
    </row>
    <row r="1481" spans="3:8" x14ac:dyDescent="0.2">
      <c r="C1481" s="4" t="s">
        <v>496</v>
      </c>
      <c r="D1481" s="178">
        <f ca="1">SUMIF($A$1:D$1449,$C1481,D$1:D$1449)</f>
        <v>5197465</v>
      </c>
      <c r="E1481" s="72">
        <f ca="1">SUMIF($A$1:E$1449,$C1481,E$1:E$1449)</f>
        <v>0</v>
      </c>
      <c r="F1481" s="72">
        <f ca="1">SUMIF($A$1:F$1449,$C1481,F$1:F$1449)</f>
        <v>0</v>
      </c>
      <c r="G1481" s="72">
        <f ca="1">SUMIF($A$1:G$1449,$C1481,G$1:G$1449)</f>
        <v>18683</v>
      </c>
      <c r="H1481" s="178">
        <f ca="1">SUMIF($A$1:H$1449,$C1481,H$1:H$1449)</f>
        <v>5216148</v>
      </c>
    </row>
    <row r="1482" spans="3:8" x14ac:dyDescent="0.2">
      <c r="C1482" s="4" t="s">
        <v>703</v>
      </c>
      <c r="D1482" s="178">
        <f ca="1">SUMIF($A$1:D$1449,$C1482,D$1:D$1449)</f>
        <v>1425368</v>
      </c>
      <c r="E1482" s="72">
        <f ca="1">SUMIF($A$1:E$1449,$C1482,E$1:E$1449)</f>
        <v>0</v>
      </c>
      <c r="F1482" s="72">
        <f ca="1">SUMIF($A$1:F$1449,$C1482,F$1:F$1449)</f>
        <v>0</v>
      </c>
      <c r="G1482" s="72">
        <f ca="1">SUMIF($A$1:G$1449,$C1482,G$1:G$1449)</f>
        <v>-8350</v>
      </c>
      <c r="H1482" s="178">
        <f ca="1">SUMIF($A$1:H$1449,$C1482,H$1:H$1449)</f>
        <v>1417018</v>
      </c>
    </row>
    <row r="1483" spans="3:8" x14ac:dyDescent="0.2">
      <c r="C1483" s="4" t="s">
        <v>704</v>
      </c>
      <c r="D1483" s="178">
        <f ca="1">SUMIF($A$1:D$1449,$C1483,D$1:D$1449)</f>
        <v>1463380</v>
      </c>
      <c r="E1483" s="72">
        <f ca="1">SUMIF($A$1:E$1449,$C1483,E$1:E$1449)</f>
        <v>0</v>
      </c>
      <c r="F1483" s="72">
        <f ca="1">SUMIF($A$1:F$1449,$C1483,F$1:F$1449)</f>
        <v>23775</v>
      </c>
      <c r="G1483" s="72">
        <f ca="1">SUMIF($A$1:G$1449,$C1483,G$1:G$1449)</f>
        <v>-41000</v>
      </c>
      <c r="H1483" s="178">
        <f ca="1">SUMIF($A$1:H$1449,$C1483,H$1:H$1449)</f>
        <v>1446155</v>
      </c>
    </row>
    <row r="1484" spans="3:8" x14ac:dyDescent="0.2">
      <c r="C1484" s="4" t="s">
        <v>494</v>
      </c>
      <c r="D1484" s="178">
        <f ca="1">SUMIF($A$1:D$1449,$C1484,D$1:D$1449)</f>
        <v>3186227</v>
      </c>
      <c r="E1484" s="72">
        <f ca="1">SUMIF($A$1:E$1449,$C1484,E$1:E$1449)</f>
        <v>0</v>
      </c>
      <c r="F1484" s="72">
        <f ca="1">SUMIF($A$1:F$1449,$C1484,F$1:F$1449)</f>
        <v>0</v>
      </c>
      <c r="G1484" s="72">
        <f ca="1">SUMIF($A$1:G$1449,$C1484,G$1:G$1449)</f>
        <v>-58734</v>
      </c>
      <c r="H1484" s="178">
        <f ca="1">SUMIF($A$1:H$1449,$C1484,H$1:H$1449)</f>
        <v>3127493</v>
      </c>
    </row>
    <row r="1485" spans="3:8" x14ac:dyDescent="0.2">
      <c r="C1485" s="4" t="s">
        <v>705</v>
      </c>
      <c r="D1485" s="178">
        <f ca="1">SUMIF($A$1:D$1449,$C1485,D$1:D$1449)</f>
        <v>0</v>
      </c>
      <c r="E1485" s="72">
        <f ca="1">SUMIF($A$1:E$1449,$C1485,E$1:E$1449)</f>
        <v>0</v>
      </c>
      <c r="F1485" s="72">
        <f ca="1">SUMIF($A$1:F$1449,$C1485,F$1:F$1449)</f>
        <v>0</v>
      </c>
      <c r="G1485" s="72">
        <f ca="1">SUMIF($A$1:G$1449,$C1485,G$1:G$1449)</f>
        <v>0</v>
      </c>
      <c r="H1485" s="178">
        <f ca="1">SUMIF($A$1:H$1449,$C1485,H$1:H$1449)</f>
        <v>0</v>
      </c>
    </row>
    <row r="1486" spans="3:8" x14ac:dyDescent="0.2">
      <c r="C1486" s="4" t="s">
        <v>706</v>
      </c>
      <c r="D1486" s="178">
        <f ca="1">SUMIF($A$1:D$1449,$C1486,D$1:D$1449)</f>
        <v>3359371</v>
      </c>
      <c r="E1486" s="72">
        <f ca="1">SUMIF($A$1:E$1449,$C1486,E$1:E$1449)</f>
        <v>0</v>
      </c>
      <c r="F1486" s="72">
        <f ca="1">SUMIF($A$1:F$1449,$C1486,F$1:F$1449)</f>
        <v>0</v>
      </c>
      <c r="G1486" s="72">
        <f ca="1">SUMIF($A$1:G$1449,$C1486,G$1:G$1449)</f>
        <v>13324</v>
      </c>
      <c r="H1486" s="178">
        <f ca="1">SUMIF($A$1:H$1449,$C1486,H$1:H$1449)</f>
        <v>3372695</v>
      </c>
    </row>
    <row r="1487" spans="3:8" x14ac:dyDescent="0.2">
      <c r="C1487" s="275" t="s">
        <v>707</v>
      </c>
      <c r="D1487" s="396">
        <f t="shared" ref="D1487:H1487" ca="1" si="81">SUM(D1467:D1486)</f>
        <v>362181595</v>
      </c>
      <c r="E1487" s="2">
        <f t="shared" ca="1" si="81"/>
        <v>675454</v>
      </c>
      <c r="F1487" s="2">
        <f t="shared" ca="1" si="81"/>
        <v>2116743</v>
      </c>
      <c r="G1487" s="2">
        <f t="shared" ca="1" si="81"/>
        <v>2994426</v>
      </c>
      <c r="H1487" s="396">
        <f t="shared" ca="1" si="81"/>
        <v>367968218</v>
      </c>
    </row>
    <row r="1488" spans="3:8" x14ac:dyDescent="0.2">
      <c r="C1488" s="4" t="s">
        <v>708</v>
      </c>
      <c r="D1488" s="398">
        <f>D1426</f>
        <v>5000000</v>
      </c>
      <c r="E1488" s="71">
        <f>E1426</f>
        <v>0</v>
      </c>
      <c r="F1488" s="71">
        <f t="shared" ref="F1488:H1488" si="82">F1426</f>
        <v>-805931</v>
      </c>
      <c r="G1488" s="71">
        <f t="shared" si="82"/>
        <v>-90000</v>
      </c>
      <c r="H1488" s="398">
        <f t="shared" si="82"/>
        <v>4104069</v>
      </c>
    </row>
    <row r="1489" spans="3:8" x14ac:dyDescent="0.2">
      <c r="C1489" s="4" t="s">
        <v>709</v>
      </c>
      <c r="D1489" s="178">
        <f>D1436+D1421+D1365+D1316+D1249+D1197+D1133+D1092+D1028</f>
        <v>1742420</v>
      </c>
      <c r="E1489" s="72">
        <f>E1436+E1421+E1365+E1316+E1249+E1197+E1133+E1092+E1028</f>
        <v>0</v>
      </c>
      <c r="F1489" s="72">
        <f>F1436+F1421+F1365+F1316+F1249+F1197+F1133+F1092+F1028</f>
        <v>-26660</v>
      </c>
      <c r="G1489" s="72">
        <f>G1436+G1421+G1365+G1316+G1249+G1197+G1133+G1092+G1028</f>
        <v>-88000</v>
      </c>
      <c r="H1489" s="178">
        <f>H1436+H1421+H1365+H1316+H1249+H1197+H1133+H1092+H1028</f>
        <v>1627760</v>
      </c>
    </row>
    <row r="1490" spans="3:8" x14ac:dyDescent="0.2">
      <c r="C1490" s="4" t="s">
        <v>710</v>
      </c>
      <c r="D1490" s="398">
        <f>D1438</f>
        <v>1625000</v>
      </c>
      <c r="E1490" s="71">
        <f>E1438</f>
        <v>0</v>
      </c>
      <c r="F1490" s="71">
        <f t="shared" ref="E1490:H1493" si="83">F1438</f>
        <v>-100800</v>
      </c>
      <c r="G1490" s="71">
        <f t="shared" si="83"/>
        <v>-194970</v>
      </c>
      <c r="H1490" s="398">
        <f t="shared" si="83"/>
        <v>1329230</v>
      </c>
    </row>
    <row r="1491" spans="3:8" x14ac:dyDescent="0.2">
      <c r="C1491" s="4" t="s">
        <v>711</v>
      </c>
      <c r="D1491" s="398">
        <f t="shared" ref="D1491:H1493" si="84">D1439</f>
        <v>100000</v>
      </c>
      <c r="E1491" s="71">
        <f t="shared" si="84"/>
        <v>0</v>
      </c>
      <c r="F1491" s="71">
        <f t="shared" si="84"/>
        <v>0</v>
      </c>
      <c r="G1491" s="71">
        <f t="shared" si="83"/>
        <v>0</v>
      </c>
      <c r="H1491" s="398">
        <f t="shared" si="84"/>
        <v>100000</v>
      </c>
    </row>
    <row r="1492" spans="3:8" x14ac:dyDescent="0.2">
      <c r="C1492" s="276" t="s">
        <v>712</v>
      </c>
      <c r="D1492" s="398">
        <f t="shared" si="84"/>
        <v>100000</v>
      </c>
      <c r="E1492" s="71">
        <f t="shared" si="83"/>
        <v>0</v>
      </c>
      <c r="F1492" s="71">
        <f t="shared" si="83"/>
        <v>0</v>
      </c>
      <c r="G1492" s="71">
        <f t="shared" si="83"/>
        <v>0</v>
      </c>
      <c r="H1492" s="398">
        <f t="shared" si="83"/>
        <v>100000</v>
      </c>
    </row>
    <row r="1493" spans="3:8" x14ac:dyDescent="0.2">
      <c r="C1493" s="99" t="s">
        <v>721</v>
      </c>
      <c r="D1493" s="398">
        <f t="shared" si="84"/>
        <v>1200000</v>
      </c>
      <c r="E1493" s="71">
        <f t="shared" si="83"/>
        <v>0</v>
      </c>
      <c r="F1493" s="71">
        <f t="shared" si="83"/>
        <v>-175527</v>
      </c>
      <c r="G1493" s="71">
        <f t="shared" si="83"/>
        <v>0</v>
      </c>
      <c r="H1493" s="398">
        <f t="shared" si="83"/>
        <v>1024473</v>
      </c>
    </row>
    <row r="1494" spans="3:8" x14ac:dyDescent="0.2">
      <c r="C1494" s="99" t="s">
        <v>653</v>
      </c>
      <c r="D1494" s="398">
        <f>D1444</f>
        <v>366069</v>
      </c>
      <c r="E1494" s="71">
        <f>E1444</f>
        <v>0</v>
      </c>
      <c r="F1494" s="71">
        <f t="shared" ref="F1494:H1494" si="85">F1444</f>
        <v>0</v>
      </c>
      <c r="G1494" s="71">
        <f t="shared" si="85"/>
        <v>0</v>
      </c>
      <c r="H1494" s="398">
        <f t="shared" si="85"/>
        <v>366069</v>
      </c>
    </row>
    <row r="1495" spans="3:8" x14ac:dyDescent="0.2">
      <c r="C1495" s="99" t="s">
        <v>670</v>
      </c>
      <c r="D1495" s="398">
        <f>D1428</f>
        <v>700000</v>
      </c>
      <c r="E1495" s="71">
        <f>E1428</f>
        <v>-675454</v>
      </c>
      <c r="F1495" s="71">
        <f t="shared" ref="F1495:H1495" si="86">F1428</f>
        <v>-24546</v>
      </c>
      <c r="G1495" s="71">
        <f t="shared" si="86"/>
        <v>0</v>
      </c>
      <c r="H1495" s="398">
        <f t="shared" si="86"/>
        <v>0</v>
      </c>
    </row>
    <row r="1496" spans="3:8" x14ac:dyDescent="0.2">
      <c r="C1496" s="4" t="s">
        <v>639</v>
      </c>
      <c r="D1496" s="398">
        <f>D1449</f>
        <v>3500000</v>
      </c>
      <c r="E1496" s="71">
        <f>E1449</f>
        <v>0</v>
      </c>
      <c r="F1496" s="71">
        <f t="shared" ref="F1496:H1496" si="87">F1449</f>
        <v>42345</v>
      </c>
      <c r="G1496" s="71">
        <f t="shared" si="87"/>
        <v>-491827</v>
      </c>
      <c r="H1496" s="398">
        <f t="shared" si="87"/>
        <v>3050518</v>
      </c>
    </row>
    <row r="1497" spans="3:8" x14ac:dyDescent="0.2">
      <c r="C1497" s="275" t="s">
        <v>713</v>
      </c>
      <c r="D1497" s="396">
        <f ca="1">SUM(D1487:D1496)</f>
        <v>376515084</v>
      </c>
      <c r="E1497" s="2">
        <f ca="1">SUM(E1487:E1496)</f>
        <v>0</v>
      </c>
      <c r="F1497" s="2">
        <f t="shared" ref="F1497:H1497" ca="1" si="88">SUM(F1487:F1496)</f>
        <v>1025624</v>
      </c>
      <c r="G1497" s="2">
        <f t="shared" ca="1" si="88"/>
        <v>2129629</v>
      </c>
      <c r="H1497" s="396">
        <f t="shared" ca="1" si="88"/>
        <v>379670337</v>
      </c>
    </row>
    <row r="1498" spans="3:8" x14ac:dyDescent="0.2">
      <c r="C1498" s="277" t="s">
        <v>714</v>
      </c>
      <c r="D1498" s="394">
        <f ca="1">D1455</f>
        <v>55816328</v>
      </c>
      <c r="E1498" s="176">
        <f ca="1">E1455</f>
        <v>0</v>
      </c>
      <c r="F1498" s="176">
        <f t="shared" ref="F1498:H1498" ca="1" si="89">F1455</f>
        <v>876436</v>
      </c>
      <c r="G1498" s="176">
        <f t="shared" ca="1" si="89"/>
        <v>1240576</v>
      </c>
      <c r="H1498" s="394">
        <f t="shared" ca="1" si="89"/>
        <v>57933340</v>
      </c>
    </row>
    <row r="1499" spans="3:8" x14ac:dyDescent="0.2">
      <c r="C1499" s="277" t="s">
        <v>200</v>
      </c>
      <c r="D1499" s="394">
        <f ca="1">D1456</f>
        <v>142675</v>
      </c>
      <c r="E1499" s="176">
        <f ca="1">E1456</f>
        <v>0</v>
      </c>
      <c r="F1499" s="176">
        <f ca="1">F1456</f>
        <v>47892</v>
      </c>
      <c r="G1499" s="176">
        <f ca="1">G1456</f>
        <v>14938</v>
      </c>
      <c r="H1499" s="394">
        <f ca="1">H1456</f>
        <v>205505</v>
      </c>
    </row>
    <row r="1500" spans="3:8" x14ac:dyDescent="0.2">
      <c r="C1500" s="277" t="s">
        <v>715</v>
      </c>
      <c r="D1500" s="394">
        <f ca="1">D1458</f>
        <v>320556081</v>
      </c>
      <c r="E1500" s="176">
        <f ca="1">E1458</f>
        <v>0</v>
      </c>
      <c r="F1500" s="176">
        <f ca="1">F1458</f>
        <v>101296</v>
      </c>
      <c r="G1500" s="176">
        <f ca="1">G1458</f>
        <v>874115</v>
      </c>
      <c r="H1500" s="394">
        <f ca="1">H1458</f>
        <v>321531492</v>
      </c>
    </row>
    <row r="1501" spans="3:8" x14ac:dyDescent="0.2">
      <c r="C1501" s="4" t="s">
        <v>696</v>
      </c>
      <c r="D1501" s="398">
        <f>D1447</f>
        <v>74000000</v>
      </c>
      <c r="E1501" s="71">
        <f>E1447</f>
        <v>0</v>
      </c>
      <c r="F1501" s="71">
        <f>F1447</f>
        <v>0</v>
      </c>
      <c r="G1501" s="71">
        <f>G1447</f>
        <v>0</v>
      </c>
      <c r="H1501" s="398">
        <f>H1447</f>
        <v>74000000</v>
      </c>
    </row>
    <row r="1502" spans="3:8" x14ac:dyDescent="0.2">
      <c r="C1502" s="275" t="s">
        <v>144</v>
      </c>
      <c r="D1502" s="396">
        <f ca="1">D1497+D1501</f>
        <v>450515084</v>
      </c>
      <c r="E1502" s="2">
        <f ca="1">E1497+E1501</f>
        <v>0</v>
      </c>
      <c r="F1502" s="2">
        <f ca="1">F1497+F1501</f>
        <v>1025624</v>
      </c>
      <c r="G1502" s="2">
        <f ca="1">G1497+G1501</f>
        <v>2129629</v>
      </c>
      <c r="H1502" s="396">
        <f ca="1">H1497+H1501</f>
        <v>453670337</v>
      </c>
    </row>
    <row r="1503" spans="3:8" x14ac:dyDescent="0.2">
      <c r="C1503" s="275"/>
      <c r="D1503" s="394">
        <f ca="1">D1502-D1451</f>
        <v>0</v>
      </c>
      <c r="E1503" s="176">
        <f ca="1">E1502-E1451</f>
        <v>0</v>
      </c>
      <c r="F1503" s="176">
        <f ca="1">F1502-F1451</f>
        <v>0</v>
      </c>
      <c r="G1503" s="176">
        <f ca="1">G1502-G1451</f>
        <v>0</v>
      </c>
      <c r="H1503" s="394">
        <f ca="1">H1502-H1451</f>
        <v>0</v>
      </c>
    </row>
    <row r="1504" spans="3:8" x14ac:dyDescent="0.2">
      <c r="C1504" s="274"/>
      <c r="D1504" s="395"/>
      <c r="E1504" s="278"/>
      <c r="F1504" s="176"/>
      <c r="G1504" s="176"/>
      <c r="H1504" s="395"/>
    </row>
    <row r="1505" spans="3:8" x14ac:dyDescent="0.2">
      <c r="C1505" s="273" t="s">
        <v>716</v>
      </c>
      <c r="D1505" s="395"/>
      <c r="E1505" s="278"/>
      <c r="F1505" s="176"/>
      <c r="G1505" s="176"/>
      <c r="H1505" s="395"/>
    </row>
    <row r="1506" spans="3:8" x14ac:dyDescent="0.2">
      <c r="C1506" s="275"/>
      <c r="D1506" s="395"/>
      <c r="E1506" s="278"/>
      <c r="F1506" s="176"/>
      <c r="G1506" s="176"/>
      <c r="H1506" s="395"/>
    </row>
    <row r="1507" spans="3:8" x14ac:dyDescent="0.2">
      <c r="C1507" s="4" t="s">
        <v>697</v>
      </c>
      <c r="D1507" s="178">
        <f ca="1">SUMIF($B$1:D$1447,$C1507,D$1:D$1447)</f>
        <v>2046763</v>
      </c>
      <c r="E1507" s="72">
        <f ca="1">SUMIF($B$1:E$1447,$C1507,E$1:E$1447)</f>
        <v>0</v>
      </c>
      <c r="F1507" s="72">
        <f ca="1">SUMIF($B$1:F$1447,$C1507,F$1:F$1447)</f>
        <v>84966</v>
      </c>
      <c r="G1507" s="72">
        <f ca="1">SUMIF($B$1:G$1447,$C1507,G$1:G$1447)</f>
        <v>-16370</v>
      </c>
      <c r="H1507" s="178">
        <f ca="1">SUMIF($B$1:H$1447,$C1507,H$1:H$1447)</f>
        <v>2115359</v>
      </c>
    </row>
    <row r="1508" spans="3:8" x14ac:dyDescent="0.2">
      <c r="C1508" s="4" t="s">
        <v>181</v>
      </c>
      <c r="D1508" s="178">
        <f ca="1">SUMIF($B$1:D$1447,$C1508,D$1:D$1447)</f>
        <v>19579126</v>
      </c>
      <c r="E1508" s="72">
        <f ca="1">SUMIF($B$1:E$1447,$C1508,E$1:E$1447)</f>
        <v>0</v>
      </c>
      <c r="F1508" s="72">
        <f ca="1">SUMIF($B$1:F$1447,$C1508,F$1:F$1447)</f>
        <v>309800</v>
      </c>
      <c r="G1508" s="72">
        <f ca="1">SUMIF($B$1:G$1447,$C1508,G$1:G$1447)</f>
        <v>-158452</v>
      </c>
      <c r="H1508" s="178">
        <f ca="1">SUMIF($B$1:H$1447,$C1508,H$1:H$1447)</f>
        <v>19730474</v>
      </c>
    </row>
    <row r="1509" spans="3:8" x14ac:dyDescent="0.2">
      <c r="C1509" s="4" t="s">
        <v>169</v>
      </c>
      <c r="D1509" s="178">
        <f ca="1">SUMIF($B$1:D$1447,$C1509,D$1:D$1447)</f>
        <v>808985</v>
      </c>
      <c r="E1509" s="72">
        <f ca="1">SUMIF($B$1:E$1447,$C1509,E$1:E$1447)</f>
        <v>0</v>
      </c>
      <c r="F1509" s="72">
        <f ca="1">SUMIF($B$1:F$1447,$C1509,F$1:F$1447)</f>
        <v>0</v>
      </c>
      <c r="G1509" s="72">
        <f ca="1">SUMIF($B$1:G$1447,$C1509,G$1:G$1447)</f>
        <v>6500</v>
      </c>
      <c r="H1509" s="178">
        <f ca="1">SUMIF($B$1:H$1447,$C1509,H$1:H$1447)</f>
        <v>815485</v>
      </c>
    </row>
    <row r="1510" spans="3:8" x14ac:dyDescent="0.2">
      <c r="C1510" s="4" t="s">
        <v>190</v>
      </c>
      <c r="D1510" s="178">
        <f ca="1">SUMIF($B$1:D$1447,$C1510,D$1:D$1447)</f>
        <v>455281</v>
      </c>
      <c r="E1510" s="72">
        <f ca="1">SUMIF($B$1:E$1447,$C1510,E$1:E$1447)</f>
        <v>0</v>
      </c>
      <c r="F1510" s="72">
        <f ca="1">SUMIF($B$1:F$1447,$C1510,F$1:F$1447)</f>
        <v>0</v>
      </c>
      <c r="G1510" s="72">
        <f ca="1">SUMIF($B$1:G$1447,$C1510,G$1:G$1447)</f>
        <v>19530</v>
      </c>
      <c r="H1510" s="178">
        <f ca="1">SUMIF($B$1:H$1447,$C1510,H$1:H$1447)</f>
        <v>474811</v>
      </c>
    </row>
    <row r="1511" spans="3:8" x14ac:dyDescent="0.2">
      <c r="C1511" s="4" t="s">
        <v>192</v>
      </c>
      <c r="D1511" s="178">
        <f ca="1">SUMIF($B$1:D$1447,$C1511,D$1:D$1447)</f>
        <v>114162852</v>
      </c>
      <c r="E1511" s="72">
        <f ca="1">SUMIF($B$1:E$1447,$C1511,E$1:E$1447)</f>
        <v>0</v>
      </c>
      <c r="F1511" s="72">
        <f ca="1">SUMIF($B$1:F$1447,$C1511,F$1:F$1447)</f>
        <v>692046</v>
      </c>
      <c r="G1511" s="72">
        <f ca="1">SUMIF($B$1:G$1447,$C1511,G$1:G$1447)</f>
        <v>2101841</v>
      </c>
      <c r="H1511" s="178">
        <f ca="1">SUMIF($B$1:H$1447,$C1511,H$1:H$1447)</f>
        <v>116956739</v>
      </c>
    </row>
    <row r="1512" spans="3:8" x14ac:dyDescent="0.2">
      <c r="C1512" s="4" t="s">
        <v>178</v>
      </c>
      <c r="D1512" s="178">
        <f ca="1">SUMIF($B$1:D$1447,$C1512,D$1:D$1447)</f>
        <v>16665643</v>
      </c>
      <c r="E1512" s="72">
        <f ca="1">SUMIF($B$1:E$1447,$C1512,E$1:E$1447)</f>
        <v>208180</v>
      </c>
      <c r="F1512" s="72">
        <f ca="1">SUMIF($B$1:F$1447,$C1512,F$1:F$1447)</f>
        <v>122770</v>
      </c>
      <c r="G1512" s="72">
        <f ca="1">SUMIF($B$1:G$1447,$C1512,G$1:G$1447)</f>
        <v>-349107</v>
      </c>
      <c r="H1512" s="178">
        <f ca="1">SUMIF($B$1:H$1447,$C1512,H$1:H$1447)</f>
        <v>16647486</v>
      </c>
    </row>
    <row r="1513" spans="3:8" x14ac:dyDescent="0.2">
      <c r="C1513" s="4" t="s">
        <v>207</v>
      </c>
      <c r="D1513" s="178">
        <f ca="1">SUMIF($B$1:D$1447,$C1513,D$1:D$1447)</f>
        <v>14045634</v>
      </c>
      <c r="E1513" s="72">
        <f ca="1">SUMIF($B$1:E$1447,$C1513,E$1:E$1447)</f>
        <v>0</v>
      </c>
      <c r="F1513" s="72">
        <f ca="1">SUMIF($B$1:F$1447,$C1513,F$1:F$1447)</f>
        <v>196797</v>
      </c>
      <c r="G1513" s="72">
        <f ca="1">SUMIF($B$1:G$1447,$C1513,G$1:G$1447)</f>
        <v>-20547</v>
      </c>
      <c r="H1513" s="178">
        <f ca="1">SUMIF($B$1:H$1447,$C1513,H$1:H$1447)</f>
        <v>14221884</v>
      </c>
    </row>
    <row r="1514" spans="3:8" x14ac:dyDescent="0.2">
      <c r="C1514" s="4" t="s">
        <v>176</v>
      </c>
      <c r="D1514" s="178">
        <f ca="1">SUMIF($B$1:D$1447,$C1514,D$1:D$1447)</f>
        <v>29193454</v>
      </c>
      <c r="E1514" s="72">
        <f ca="1">SUMIF($B$1:E$1447,$C1514,E$1:E$1447)</f>
        <v>342455</v>
      </c>
      <c r="F1514" s="72">
        <f ca="1">SUMIF($B$1:F$1447,$C1514,F$1:F$1447)</f>
        <v>251190</v>
      </c>
      <c r="G1514" s="72">
        <f ca="1">SUMIF($B$1:G$1447,$C1514,G$1:G$1447)</f>
        <v>266251</v>
      </c>
      <c r="H1514" s="178">
        <f ca="1">SUMIF($B$1:H$1447,$C1514,H$1:H$1447)</f>
        <v>30053350</v>
      </c>
    </row>
    <row r="1515" spans="3:8" x14ac:dyDescent="0.2">
      <c r="C1515" s="4" t="s">
        <v>172</v>
      </c>
      <c r="D1515" s="178">
        <f ca="1">SUMIF($B$1:D$1447,$C1515,D$1:D$1447)</f>
        <v>15948918</v>
      </c>
      <c r="E1515" s="72">
        <f ca="1">SUMIF($B$1:E$1447,$C1515,E$1:E$1447)</f>
        <v>0</v>
      </c>
      <c r="F1515" s="72">
        <f ca="1">SUMIF($B$1:F$1447,$C1515,F$1:F$1447)</f>
        <v>28369</v>
      </c>
      <c r="G1515" s="72">
        <f ca="1">SUMIF($B$1:G$1447,$C1515,G$1:G$1447)</f>
        <v>-81398</v>
      </c>
      <c r="H1515" s="178">
        <f ca="1">SUMIF($B$1:H$1447,$C1515,H$1:H$1447)</f>
        <v>15895889</v>
      </c>
    </row>
    <row r="1516" spans="3:8" x14ac:dyDescent="0.2">
      <c r="C1516" s="4" t="s">
        <v>167</v>
      </c>
      <c r="D1516" s="178">
        <f ca="1">SUMIF($B$1:D$1447,$C1516,D$1:D$1447)</f>
        <v>9064604</v>
      </c>
      <c r="E1516" s="72">
        <f ca="1">SUMIF($B$1:E$1447,$C1516,E$1:E$1447)</f>
        <v>0</v>
      </c>
      <c r="F1516" s="72">
        <f ca="1">SUMIF($B$1:F$1447,$C1516,F$1:F$1447)</f>
        <v>28700</v>
      </c>
      <c r="G1516" s="72">
        <f ca="1">SUMIF($B$1:G$1447,$C1516,G$1:G$1447)</f>
        <v>85866</v>
      </c>
      <c r="H1516" s="178">
        <f ca="1">SUMIF($B$1:H$1447,$C1516,H$1:H$1447)</f>
        <v>9179170</v>
      </c>
    </row>
    <row r="1517" spans="3:8" x14ac:dyDescent="0.2">
      <c r="C1517" s="4" t="s">
        <v>168</v>
      </c>
      <c r="D1517" s="178">
        <f ca="1">SUMIF($B$1:D$1447,$C1517,D$1:D$1447)</f>
        <v>66982825</v>
      </c>
      <c r="E1517" s="72">
        <f ca="1">SUMIF($B$1:E$1447,$C1517,E$1:E$1447)</f>
        <v>0</v>
      </c>
      <c r="F1517" s="72">
        <f ca="1">SUMIF($B$1:F$1447,$C1517,F$1:F$1447)</f>
        <v>20000</v>
      </c>
      <c r="G1517" s="72">
        <f ca="1">SUMIF($B$1:G$1447,$C1517,G$1:G$1447)</f>
        <v>-16850</v>
      </c>
      <c r="H1517" s="178">
        <f ca="1">SUMIF($B$1:H$1447,$C1517,H$1:H$1447)</f>
        <v>66985975</v>
      </c>
    </row>
    <row r="1518" spans="3:8" x14ac:dyDescent="0.2">
      <c r="C1518" s="4" t="s">
        <v>269</v>
      </c>
      <c r="D1518" s="178">
        <f ca="1">SUMIF($B$1:D$1447,$C1518,D$1:D$1447)</f>
        <v>37176213</v>
      </c>
      <c r="E1518" s="72">
        <f ca="1">SUMIF($B$1:E$1447,$C1518,E$1:E$1447)</f>
        <v>0</v>
      </c>
      <c r="F1518" s="72">
        <f ca="1">SUMIF($B$1:F$1447,$C1518,F$1:F$1447)</f>
        <v>0</v>
      </c>
      <c r="G1518" s="72">
        <f ca="1">SUMIF($B$1:G$1447,$C1518,G$1:G$1447)</f>
        <v>500550</v>
      </c>
      <c r="H1518" s="178">
        <f ca="1">SUMIF($B$1:H$1447,$C1518,H$1:H$1447)</f>
        <v>37676763</v>
      </c>
    </row>
    <row r="1519" spans="3:8" x14ac:dyDescent="0.2">
      <c r="C1519" s="4" t="s">
        <v>276</v>
      </c>
      <c r="D1519" s="178">
        <f ca="1">SUMIF($B$1:D$1447,$C1519,D$1:D$1447)</f>
        <v>6030165</v>
      </c>
      <c r="E1519" s="72">
        <f ca="1">SUMIF($B$1:E$1447,$C1519,E$1:E$1447)</f>
        <v>0</v>
      </c>
      <c r="F1519" s="72">
        <f ca="1">SUMIF($B$1:F$1447,$C1519,F$1:F$1447)</f>
        <v>50182</v>
      </c>
      <c r="G1519" s="72">
        <f ca="1">SUMIF($B$1:G$1447,$C1519,G$1:G$1447)</f>
        <v>550422</v>
      </c>
      <c r="H1519" s="178">
        <f ca="1">SUMIF($B$1:H$1447,$C1519,H$1:H$1447)</f>
        <v>6630769</v>
      </c>
    </row>
    <row r="1520" spans="3:8" x14ac:dyDescent="0.2">
      <c r="C1520" s="4" t="s">
        <v>170</v>
      </c>
      <c r="D1520" s="178">
        <f ca="1">SUMIF($B$1:D$1447,$C1520,D$1:D$1447)</f>
        <v>3186227</v>
      </c>
      <c r="E1520" s="72">
        <f ca="1">SUMIF($B$1:E$1447,$C1520,E$1:E$1447)</f>
        <v>0</v>
      </c>
      <c r="F1520" s="72">
        <f ca="1">SUMIF($B$1:F$1447,$C1520,F$1:F$1447)</f>
        <v>0</v>
      </c>
      <c r="G1520" s="72">
        <f ca="1">SUMIF($B$1:G$1447,$C1520,G$1:G$1447)</f>
        <v>-58734</v>
      </c>
      <c r="H1520" s="178">
        <f ca="1">SUMIF($B$1:H$1447,$C1520,H$1:H$1447)</f>
        <v>3127493</v>
      </c>
    </row>
    <row r="1521" spans="3:8" x14ac:dyDescent="0.2">
      <c r="C1521" s="4" t="s">
        <v>175</v>
      </c>
      <c r="D1521" s="178">
        <f ca="1">SUMIF($B$1:D$1447,$C1521,D$1:D$1447)</f>
        <v>2844777</v>
      </c>
      <c r="E1521" s="72">
        <f ca="1">SUMIF($B$1:E$1447,$C1521,E$1:E$1447)</f>
        <v>0</v>
      </c>
      <c r="F1521" s="72">
        <f ca="1">SUMIF($B$1:F$1447,$C1521,F$1:F$1447)</f>
        <v>0</v>
      </c>
      <c r="G1521" s="72">
        <f ca="1">SUMIF($B$1:G$1447,$C1521,G$1:G$1447)</f>
        <v>14824</v>
      </c>
      <c r="H1521" s="178">
        <f ca="1">SUMIF($B$1:H$1447,$C1521,H$1:H$1447)</f>
        <v>2859601</v>
      </c>
    </row>
    <row r="1522" spans="3:8" x14ac:dyDescent="0.2">
      <c r="C1522" s="4" t="s">
        <v>282</v>
      </c>
      <c r="D1522" s="178">
        <f ca="1">SUMIF($B$1:D$1447,$C1522,D$1:D$1447)</f>
        <v>1814542</v>
      </c>
      <c r="E1522" s="72">
        <f ca="1">SUMIF($B$1:E$1447,$C1522,E$1:E$1447)</f>
        <v>8710</v>
      </c>
      <c r="F1522" s="72">
        <f ca="1">SUMIF($B$1:F$1447,$C1522,F$1:F$1447)</f>
        <v>2950</v>
      </c>
      <c r="G1522" s="72">
        <f ca="1">SUMIF($B$1:G$1447,$C1522,G$1:G$1447)</f>
        <v>14657</v>
      </c>
      <c r="H1522" s="178">
        <f ca="1">SUMIF($B$1:H$1447,$C1522,H$1:H$1447)</f>
        <v>1840859</v>
      </c>
    </row>
    <row r="1523" spans="3:8" x14ac:dyDescent="0.2">
      <c r="C1523" s="4" t="s">
        <v>286</v>
      </c>
      <c r="D1523" s="178">
        <f ca="1">SUMIF($B$1:D$1447,$C1523,D$1:D$1447)</f>
        <v>4900584</v>
      </c>
      <c r="E1523" s="72">
        <f ca="1">SUMIF($B$1:E$1447,$C1523,E$1:E$1447)</f>
        <v>13825</v>
      </c>
      <c r="F1523" s="72">
        <f ca="1">SUMIF($B$1:F$1447,$C1523,F$1:F$1447)</f>
        <v>193684</v>
      </c>
      <c r="G1523" s="72">
        <f ca="1">SUMIF($B$1:G$1447,$C1523,G$1:G$1447)</f>
        <v>4821</v>
      </c>
      <c r="H1523" s="178">
        <f ca="1">SUMIF($B$1:H$1447,$C1523,H$1:H$1447)</f>
        <v>5112914</v>
      </c>
    </row>
    <row r="1524" spans="3:8" x14ac:dyDescent="0.2">
      <c r="C1524" s="4" t="s">
        <v>290</v>
      </c>
      <c r="D1524" s="178">
        <f ca="1">SUMIF($B$1:D$1447,$C1524,D$1:D$1447)</f>
        <v>1761868</v>
      </c>
      <c r="E1524" s="72">
        <f ca="1">SUMIF($B$1:E$1447,$C1524,E$1:E$1447)</f>
        <v>15326</v>
      </c>
      <c r="F1524" s="72">
        <f ca="1">SUMIF($B$1:F$1447,$C1524,F$1:F$1447)</f>
        <v>-29462</v>
      </c>
      <c r="G1524" s="72">
        <f ca="1">SUMIF($B$1:G$1447,$C1524,G$1:G$1447)</f>
        <v>-9425</v>
      </c>
      <c r="H1524" s="178">
        <f ca="1">SUMIF($B$1:H$1447,$C1524,H$1:H$1447)</f>
        <v>1738307</v>
      </c>
    </row>
    <row r="1525" spans="3:8" x14ac:dyDescent="0.2">
      <c r="C1525" s="4" t="s">
        <v>292</v>
      </c>
      <c r="D1525" s="178">
        <f ca="1">SUMIF($B$1:D$1447,$C1525,D$1:D$1447)</f>
        <v>5016249</v>
      </c>
      <c r="E1525" s="72">
        <f ca="1">SUMIF($B$1:E$1447,$C1525,E$1:E$1447)</f>
        <v>27054</v>
      </c>
      <c r="F1525" s="72">
        <f ca="1">SUMIF($B$1:F$1447,$C1525,F$1:F$1447)</f>
        <v>63790</v>
      </c>
      <c r="G1525" s="72">
        <f ca="1">SUMIF($B$1:G$1447,$C1525,G$1:G$1447)</f>
        <v>-2933</v>
      </c>
      <c r="H1525" s="178">
        <f ca="1">SUMIF($B$1:H$1447,$C1525,H$1:H$1447)</f>
        <v>5104160</v>
      </c>
    </row>
    <row r="1526" spans="3:8" x14ac:dyDescent="0.2">
      <c r="C1526" s="4" t="s">
        <v>28</v>
      </c>
      <c r="D1526" s="178">
        <f ca="1">SUMIF($B$1:D$1447,$C1526,D$1:D$1447)</f>
        <v>2711541</v>
      </c>
      <c r="E1526" s="72">
        <f ca="1">SUMIF($B$1:E$1447,$C1526,E$1:E$1447)</f>
        <v>19830</v>
      </c>
      <c r="F1526" s="72">
        <f ca="1">SUMIF($B$1:F$1447,$C1526,F$1:F$1447)</f>
        <v>9400</v>
      </c>
      <c r="G1526" s="72">
        <f ca="1">SUMIF($B$1:G$1447,$C1526,G$1:G$1447)</f>
        <v>20413</v>
      </c>
      <c r="H1526" s="178">
        <f ca="1">SUMIF($B$1:H$1447,$C1526,H$1:H$1447)</f>
        <v>2761184</v>
      </c>
    </row>
    <row r="1527" spans="3:8" x14ac:dyDescent="0.2">
      <c r="C1527" s="4" t="s">
        <v>30</v>
      </c>
      <c r="D1527" s="178">
        <f ca="1">SUMIF($B$1:D$1447,$C1527,D$1:D$1447)</f>
        <v>2499035</v>
      </c>
      <c r="E1527" s="72">
        <f ca="1">SUMIF($B$1:E$1447,$C1527,E$1:E$1447)</f>
        <v>13970</v>
      </c>
      <c r="F1527" s="72">
        <f ca="1">SUMIF($B$1:F$1447,$C1527,F$1:F$1447)</f>
        <v>19000</v>
      </c>
      <c r="G1527" s="72">
        <f ca="1">SUMIF($B$1:G$1447,$C1527,G$1:G$1447)</f>
        <v>33090</v>
      </c>
      <c r="H1527" s="178">
        <f ca="1">SUMIF($B$1:H$1447,$C1527,H$1:H$1447)</f>
        <v>2565095</v>
      </c>
    </row>
    <row r="1528" spans="3:8" x14ac:dyDescent="0.2">
      <c r="C1528" s="4" t="s">
        <v>31</v>
      </c>
      <c r="D1528" s="178">
        <f ca="1">SUMIF($B$1:D$1447,$C1528,D$1:D$1447)</f>
        <v>1560226</v>
      </c>
      <c r="E1528" s="72">
        <f ca="1">SUMIF($B$1:E$1447,$C1528,E$1:E$1447)</f>
        <v>5134</v>
      </c>
      <c r="F1528" s="72">
        <f ca="1">SUMIF($B$1:F$1447,$C1528,F$1:F$1447)</f>
        <v>-66532</v>
      </c>
      <c r="G1528" s="72">
        <f ca="1">SUMIF($B$1:G$1447,$C1528,G$1:G$1447)</f>
        <v>20713</v>
      </c>
      <c r="H1528" s="178">
        <f ca="1">SUMIF($B$1:H$1447,$C1528,H$1:H$1447)</f>
        <v>1519541</v>
      </c>
    </row>
    <row r="1529" spans="3:8" x14ac:dyDescent="0.2">
      <c r="C1529" s="4" t="s">
        <v>32</v>
      </c>
      <c r="D1529" s="178">
        <f ca="1">SUMIF($B$1:D$1447,$C1529,D$1:D$1447)</f>
        <v>3978503</v>
      </c>
      <c r="E1529" s="72">
        <f ca="1">SUMIF($B$1:E$1447,$C1529,E$1:E$1447)</f>
        <v>20970</v>
      </c>
      <c r="F1529" s="72">
        <f ca="1">SUMIF($B$1:F$1447,$C1529,F$1:F$1447)</f>
        <v>112433</v>
      </c>
      <c r="G1529" s="72">
        <f ca="1">SUMIF($B$1:G$1447,$C1529,G$1:G$1447)</f>
        <v>33764</v>
      </c>
      <c r="H1529" s="178">
        <f ca="1">SUMIF($B$1:H$1447,$C1529,H$1:H$1447)</f>
        <v>4145670</v>
      </c>
    </row>
    <row r="1530" spans="3:8" x14ac:dyDescent="0.2">
      <c r="C1530" s="275" t="s">
        <v>717</v>
      </c>
      <c r="D1530" s="396">
        <f t="shared" ref="D1530:H1530" ca="1" si="90">SUM(D1507:D1529)</f>
        <v>362434015</v>
      </c>
      <c r="E1530" s="2">
        <f t="shared" ca="1" si="90"/>
        <v>675454</v>
      </c>
      <c r="F1530" s="2">
        <f t="shared" ca="1" si="90"/>
        <v>2090083</v>
      </c>
      <c r="G1530" s="2">
        <f t="shared" ca="1" si="90"/>
        <v>2959426</v>
      </c>
      <c r="H1530" s="396">
        <f t="shared" ca="1" si="90"/>
        <v>368158978</v>
      </c>
    </row>
    <row r="1531" spans="3:8" x14ac:dyDescent="0.2">
      <c r="C1531" s="4" t="s">
        <v>708</v>
      </c>
      <c r="D1531" s="398">
        <f>D1426</f>
        <v>5000000</v>
      </c>
      <c r="E1531" s="71">
        <f>E1426</f>
        <v>0</v>
      </c>
      <c r="F1531" s="71">
        <f>F1426</f>
        <v>-805931</v>
      </c>
      <c r="G1531" s="71">
        <f>G1426</f>
        <v>-90000</v>
      </c>
      <c r="H1531" s="398">
        <f>H1426</f>
        <v>4104069</v>
      </c>
    </row>
    <row r="1532" spans="3:8" x14ac:dyDescent="0.2">
      <c r="C1532" s="99" t="s">
        <v>718</v>
      </c>
      <c r="D1532" s="398">
        <f>D1428</f>
        <v>700000</v>
      </c>
      <c r="E1532" s="71">
        <f>E1428</f>
        <v>-675454</v>
      </c>
      <c r="F1532" s="71">
        <f>F1428</f>
        <v>-24546</v>
      </c>
      <c r="G1532" s="71">
        <f>G1428</f>
        <v>0</v>
      </c>
      <c r="H1532" s="398">
        <f>H1428</f>
        <v>0</v>
      </c>
    </row>
    <row r="1533" spans="3:8" x14ac:dyDescent="0.2">
      <c r="C1533" s="99" t="s">
        <v>653</v>
      </c>
      <c r="D1533" s="398">
        <f>D1444</f>
        <v>366069</v>
      </c>
      <c r="E1533" s="71">
        <f>E1444</f>
        <v>0</v>
      </c>
      <c r="F1533" s="71">
        <f>F1444</f>
        <v>0</v>
      </c>
      <c r="G1533" s="71">
        <f>G1444</f>
        <v>0</v>
      </c>
      <c r="H1533" s="398">
        <f>H1444</f>
        <v>366069</v>
      </c>
    </row>
    <row r="1534" spans="3:8" x14ac:dyDescent="0.2">
      <c r="C1534" s="4" t="s">
        <v>719</v>
      </c>
      <c r="D1534" s="398">
        <f>D1436</f>
        <v>1490000</v>
      </c>
      <c r="E1534" s="71">
        <f>E1436</f>
        <v>0</v>
      </c>
      <c r="F1534" s="71">
        <f>F1436</f>
        <v>0</v>
      </c>
      <c r="G1534" s="71">
        <f>G1436</f>
        <v>-53000</v>
      </c>
      <c r="H1534" s="398">
        <f>H1436</f>
        <v>1437000</v>
      </c>
    </row>
    <row r="1535" spans="3:8" x14ac:dyDescent="0.2">
      <c r="C1535" s="4" t="s">
        <v>710</v>
      </c>
      <c r="D1535" s="398">
        <f t="shared" ref="D1535:H1538" si="91">D1438</f>
        <v>1625000</v>
      </c>
      <c r="E1535" s="71">
        <f t="shared" si="91"/>
        <v>0</v>
      </c>
      <c r="F1535" s="71">
        <f t="shared" si="91"/>
        <v>-100800</v>
      </c>
      <c r="G1535" s="71">
        <f t="shared" si="91"/>
        <v>-194970</v>
      </c>
      <c r="H1535" s="398">
        <f t="shared" si="91"/>
        <v>1329230</v>
      </c>
    </row>
    <row r="1536" spans="3:8" x14ac:dyDescent="0.2">
      <c r="C1536" s="4" t="s">
        <v>711</v>
      </c>
      <c r="D1536" s="398">
        <f t="shared" si="91"/>
        <v>100000</v>
      </c>
      <c r="E1536" s="71">
        <f t="shared" si="91"/>
        <v>0</v>
      </c>
      <c r="F1536" s="71">
        <f t="shared" si="91"/>
        <v>0</v>
      </c>
      <c r="G1536" s="71">
        <f t="shared" si="91"/>
        <v>0</v>
      </c>
      <c r="H1536" s="398">
        <f t="shared" si="91"/>
        <v>100000</v>
      </c>
    </row>
    <row r="1537" spans="3:8" x14ac:dyDescent="0.2">
      <c r="C1537" s="276" t="s">
        <v>712</v>
      </c>
      <c r="D1537" s="398">
        <f t="shared" si="91"/>
        <v>100000</v>
      </c>
      <c r="E1537" s="71">
        <f t="shared" si="91"/>
        <v>0</v>
      </c>
      <c r="F1537" s="71">
        <f t="shared" si="91"/>
        <v>0</v>
      </c>
      <c r="G1537" s="71">
        <f t="shared" si="91"/>
        <v>0</v>
      </c>
      <c r="H1537" s="398">
        <f t="shared" si="91"/>
        <v>100000</v>
      </c>
    </row>
    <row r="1538" spans="3:8" x14ac:dyDescent="0.2">
      <c r="C1538" s="99" t="s">
        <v>721</v>
      </c>
      <c r="D1538" s="398">
        <f t="shared" si="91"/>
        <v>1200000</v>
      </c>
      <c r="E1538" s="71">
        <f t="shared" si="91"/>
        <v>0</v>
      </c>
      <c r="F1538" s="71">
        <f t="shared" si="91"/>
        <v>-175527</v>
      </c>
      <c r="G1538" s="71">
        <f t="shared" si="91"/>
        <v>0</v>
      </c>
      <c r="H1538" s="398">
        <f t="shared" si="91"/>
        <v>1024473</v>
      </c>
    </row>
    <row r="1539" spans="3:8" x14ac:dyDescent="0.2">
      <c r="C1539" s="4" t="s">
        <v>696</v>
      </c>
      <c r="D1539" s="398">
        <f>D1447</f>
        <v>74000000</v>
      </c>
      <c r="E1539" s="71">
        <f>E1447</f>
        <v>0</v>
      </c>
      <c r="F1539" s="71">
        <f>F1447</f>
        <v>0</v>
      </c>
      <c r="G1539" s="71">
        <f>G1447</f>
        <v>0</v>
      </c>
      <c r="H1539" s="398">
        <f>H1447</f>
        <v>74000000</v>
      </c>
    </row>
    <row r="1540" spans="3:8" x14ac:dyDescent="0.2">
      <c r="C1540" s="4" t="s">
        <v>639</v>
      </c>
      <c r="D1540" s="398">
        <f>D1449</f>
        <v>3500000</v>
      </c>
      <c r="E1540" s="71">
        <f>E1449</f>
        <v>0</v>
      </c>
      <c r="F1540" s="71">
        <f>F1449</f>
        <v>42345</v>
      </c>
      <c r="G1540" s="71">
        <f>G1449</f>
        <v>-491827</v>
      </c>
      <c r="H1540" s="398">
        <f>H1449</f>
        <v>3050518</v>
      </c>
    </row>
    <row r="1541" spans="3:8" x14ac:dyDescent="0.2">
      <c r="C1541" s="275" t="s">
        <v>144</v>
      </c>
      <c r="D1541" s="396">
        <f ca="1">SUM(D1530:D1540)</f>
        <v>450515084</v>
      </c>
      <c r="E1541" s="2">
        <f ca="1">SUM(E1530:E1540)</f>
        <v>0</v>
      </c>
      <c r="F1541" s="2">
        <f t="shared" ref="F1541:H1541" ca="1" si="92">SUM(F1530:F1540)</f>
        <v>1025624</v>
      </c>
      <c r="G1541" s="2">
        <f t="shared" ca="1" si="92"/>
        <v>2129629</v>
      </c>
      <c r="H1541" s="396">
        <f t="shared" ca="1" si="92"/>
        <v>453670337</v>
      </c>
    </row>
    <row r="1542" spans="3:8" x14ac:dyDescent="0.2">
      <c r="C1542" s="4"/>
      <c r="D1542" s="398">
        <f ca="1">D1541-D1451</f>
        <v>0</v>
      </c>
      <c r="E1542" s="71">
        <f ca="1">E1541-E1451</f>
        <v>0</v>
      </c>
      <c r="F1542" s="71">
        <f ca="1">F1541-F1451</f>
        <v>0</v>
      </c>
      <c r="G1542" s="71">
        <f ca="1">G1541-G1451</f>
        <v>0</v>
      </c>
      <c r="H1542" s="398">
        <f ca="1">H1541-H1451</f>
        <v>0</v>
      </c>
    </row>
    <row r="1543" spans="3:8" x14ac:dyDescent="0.2">
      <c r="C1543" s="273" t="s">
        <v>720</v>
      </c>
      <c r="D1543" s="395"/>
      <c r="E1543" s="278"/>
      <c r="F1543" s="176"/>
      <c r="G1543" s="176"/>
      <c r="H1543" s="395"/>
    </row>
    <row r="1544" spans="3:8" x14ac:dyDescent="0.2">
      <c r="C1544" s="4" t="s">
        <v>42</v>
      </c>
      <c r="D1544" s="398">
        <f>D12</f>
        <v>2018177</v>
      </c>
      <c r="E1544" s="71">
        <f>E12</f>
        <v>0</v>
      </c>
      <c r="F1544" s="71">
        <f>F12</f>
        <v>86005</v>
      </c>
      <c r="G1544" s="71">
        <f>G12</f>
        <v>-16370</v>
      </c>
      <c r="H1544" s="398">
        <f>H12</f>
        <v>2087812</v>
      </c>
    </row>
    <row r="1545" spans="3:8" x14ac:dyDescent="0.2">
      <c r="C1545" s="4" t="s">
        <v>181</v>
      </c>
      <c r="D1545" s="398">
        <f>D34</f>
        <v>18986715</v>
      </c>
      <c r="E1545" s="71">
        <f>E34</f>
        <v>0</v>
      </c>
      <c r="F1545" s="71">
        <f>F34</f>
        <v>309800</v>
      </c>
      <c r="G1545" s="71">
        <f>G34</f>
        <v>-158452</v>
      </c>
      <c r="H1545" s="398">
        <f>H34</f>
        <v>19138063</v>
      </c>
    </row>
    <row r="1546" spans="3:8" x14ac:dyDescent="0.2">
      <c r="C1546" s="4" t="s">
        <v>169</v>
      </c>
      <c r="D1546" s="398">
        <f>D119</f>
        <v>779485</v>
      </c>
      <c r="E1546" s="71">
        <f>E119</f>
        <v>0</v>
      </c>
      <c r="F1546" s="71">
        <f>F119</f>
        <v>0</v>
      </c>
      <c r="G1546" s="71">
        <f>G119</f>
        <v>0</v>
      </c>
      <c r="H1546" s="398">
        <f>H119</f>
        <v>779485</v>
      </c>
    </row>
    <row r="1547" spans="3:8" x14ac:dyDescent="0.2">
      <c r="C1547" s="4" t="s">
        <v>190</v>
      </c>
      <c r="D1547" s="398">
        <f>D133</f>
        <v>255134</v>
      </c>
      <c r="E1547" s="71">
        <f>E133</f>
        <v>0</v>
      </c>
      <c r="F1547" s="71">
        <f>F133</f>
        <v>0</v>
      </c>
      <c r="G1547" s="71">
        <f>G133</f>
        <v>0</v>
      </c>
      <c r="H1547" s="398">
        <f>H133</f>
        <v>255134</v>
      </c>
    </row>
    <row r="1548" spans="3:8" x14ac:dyDescent="0.2">
      <c r="C1548" s="4" t="s">
        <v>192</v>
      </c>
      <c r="D1548" s="398">
        <f>D146</f>
        <v>87555362</v>
      </c>
      <c r="E1548" s="71">
        <f>E146</f>
        <v>0</v>
      </c>
      <c r="F1548" s="71">
        <f>F146</f>
        <v>456082</v>
      </c>
      <c r="G1548" s="71">
        <f>G146</f>
        <v>1828907</v>
      </c>
      <c r="H1548" s="398">
        <f>H146</f>
        <v>89840351</v>
      </c>
    </row>
    <row r="1549" spans="3:8" x14ac:dyDescent="0.2">
      <c r="C1549" s="4" t="s">
        <v>178</v>
      </c>
      <c r="D1549" s="398">
        <f>D221</f>
        <v>12198843</v>
      </c>
      <c r="E1549" s="71">
        <f>E221</f>
        <v>208180</v>
      </c>
      <c r="F1549" s="71">
        <f>F221</f>
        <v>31070</v>
      </c>
      <c r="G1549" s="71">
        <f>G221</f>
        <v>-804485</v>
      </c>
      <c r="H1549" s="398">
        <f>H221</f>
        <v>11633608</v>
      </c>
    </row>
    <row r="1550" spans="3:8" x14ac:dyDescent="0.2">
      <c r="C1550" s="4" t="s">
        <v>207</v>
      </c>
      <c r="D1550" s="398">
        <f>D323</f>
        <v>9763269</v>
      </c>
      <c r="E1550" s="71">
        <f>E323</f>
        <v>0</v>
      </c>
      <c r="F1550" s="71">
        <f>F323</f>
        <v>43200</v>
      </c>
      <c r="G1550" s="71">
        <f>G323</f>
        <v>-184073</v>
      </c>
      <c r="H1550" s="398">
        <f>H323</f>
        <v>9622396</v>
      </c>
    </row>
    <row r="1551" spans="3:8" x14ac:dyDescent="0.2">
      <c r="C1551" s="4" t="s">
        <v>176</v>
      </c>
      <c r="D1551" s="398">
        <f>D413</f>
        <v>26777365</v>
      </c>
      <c r="E1551" s="71">
        <f>E413</f>
        <v>342455</v>
      </c>
      <c r="F1551" s="71">
        <f>F413</f>
        <v>201400</v>
      </c>
      <c r="G1551" s="71">
        <f>G413</f>
        <v>190930</v>
      </c>
      <c r="H1551" s="398">
        <f>H413</f>
        <v>27512150</v>
      </c>
    </row>
    <row r="1552" spans="3:8" x14ac:dyDescent="0.2">
      <c r="C1552" s="4" t="s">
        <v>172</v>
      </c>
      <c r="D1552" s="398">
        <f>D613</f>
        <v>12986388</v>
      </c>
      <c r="E1552" s="71">
        <f>E613</f>
        <v>0</v>
      </c>
      <c r="F1552" s="71">
        <f>F613</f>
        <v>11239</v>
      </c>
      <c r="G1552" s="71">
        <f>G613</f>
        <v>-54198</v>
      </c>
      <c r="H1552" s="398">
        <f>H613</f>
        <v>12943429</v>
      </c>
    </row>
    <row r="1553" spans="3:8" x14ac:dyDescent="0.2">
      <c r="C1553" s="4" t="s">
        <v>167</v>
      </c>
      <c r="D1553" s="398">
        <f>D655</f>
        <v>8077421</v>
      </c>
      <c r="E1553" s="71">
        <f>E655</f>
        <v>0</v>
      </c>
      <c r="F1553" s="71">
        <f>F655</f>
        <v>6000</v>
      </c>
      <c r="G1553" s="71">
        <f>G655</f>
        <v>286936</v>
      </c>
      <c r="H1553" s="398">
        <f>H655</f>
        <v>8370357</v>
      </c>
    </row>
    <row r="1554" spans="3:8" x14ac:dyDescent="0.2">
      <c r="C1554" s="4" t="s">
        <v>168</v>
      </c>
      <c r="D1554" s="398">
        <f>D752</f>
        <v>65704155</v>
      </c>
      <c r="E1554" s="71">
        <f>E752</f>
        <v>0</v>
      </c>
      <c r="F1554" s="71">
        <f>F752</f>
        <v>0</v>
      </c>
      <c r="G1554" s="71">
        <f>G752</f>
        <v>-3450</v>
      </c>
      <c r="H1554" s="398">
        <f>H752</f>
        <v>65700705</v>
      </c>
    </row>
    <row r="1555" spans="3:8" x14ac:dyDescent="0.2">
      <c r="C1555" s="4" t="s">
        <v>269</v>
      </c>
      <c r="D1555" s="398">
        <f>D809</f>
        <v>36408459</v>
      </c>
      <c r="E1555" s="71">
        <f>E809</f>
        <v>0</v>
      </c>
      <c r="F1555" s="71">
        <f>F809</f>
        <v>0</v>
      </c>
      <c r="G1555" s="71">
        <f>G809</f>
        <v>500550</v>
      </c>
      <c r="H1555" s="398">
        <f>H809</f>
        <v>36909009</v>
      </c>
    </row>
    <row r="1556" spans="3:8" x14ac:dyDescent="0.2">
      <c r="C1556" s="4" t="s">
        <v>276</v>
      </c>
      <c r="D1556" s="398">
        <f>D882</f>
        <v>3915872</v>
      </c>
      <c r="E1556" s="71">
        <f>E882</f>
        <v>0</v>
      </c>
      <c r="F1556" s="71">
        <f>F882</f>
        <v>22407</v>
      </c>
      <c r="G1556" s="71">
        <f>G882</f>
        <v>79722</v>
      </c>
      <c r="H1556" s="398">
        <f>H882</f>
        <v>4018001</v>
      </c>
    </row>
    <row r="1557" spans="3:8" x14ac:dyDescent="0.2">
      <c r="C1557" s="4" t="s">
        <v>170</v>
      </c>
      <c r="D1557" s="398">
        <f>D958</f>
        <v>3178227</v>
      </c>
      <c r="E1557" s="71">
        <f>E958</f>
        <v>0</v>
      </c>
      <c r="F1557" s="71">
        <f>F958</f>
        <v>0</v>
      </c>
      <c r="G1557" s="71">
        <f>G958</f>
        <v>-64734</v>
      </c>
      <c r="H1557" s="398">
        <f>H958</f>
        <v>3113493</v>
      </c>
    </row>
    <row r="1558" spans="3:8" x14ac:dyDescent="0.2">
      <c r="C1558" s="4" t="s">
        <v>175</v>
      </c>
      <c r="D1558" s="398">
        <f>D974</f>
        <v>2844777</v>
      </c>
      <c r="E1558" s="71">
        <f>E974</f>
        <v>0</v>
      </c>
      <c r="F1558" s="71">
        <f>F974</f>
        <v>0</v>
      </c>
      <c r="G1558" s="71">
        <f>G974</f>
        <v>14824</v>
      </c>
      <c r="H1558" s="398">
        <f>H974</f>
        <v>2859601</v>
      </c>
    </row>
    <row r="1559" spans="3:8" x14ac:dyDescent="0.2">
      <c r="C1559" s="4" t="s">
        <v>282</v>
      </c>
      <c r="D1559" s="398">
        <f>D986</f>
        <v>1485135</v>
      </c>
      <c r="E1559" s="71">
        <f>E986</f>
        <v>8710</v>
      </c>
      <c r="F1559" s="71">
        <f>F986</f>
        <v>0</v>
      </c>
      <c r="G1559" s="71">
        <f>G986</f>
        <v>2437</v>
      </c>
      <c r="H1559" s="398">
        <f>H986</f>
        <v>1496282</v>
      </c>
    </row>
    <row r="1560" spans="3:8" x14ac:dyDescent="0.2">
      <c r="C1560" s="4" t="s">
        <v>286</v>
      </c>
      <c r="D1560" s="398">
        <f>D1037</f>
        <v>491494</v>
      </c>
      <c r="E1560" s="71">
        <f>E1037</f>
        <v>13825</v>
      </c>
      <c r="F1560" s="71">
        <f>F1037</f>
        <v>-73766</v>
      </c>
      <c r="G1560" s="71">
        <f>G1037</f>
        <v>15688</v>
      </c>
      <c r="H1560" s="398">
        <f>H1037</f>
        <v>447241</v>
      </c>
    </row>
    <row r="1561" spans="3:8" x14ac:dyDescent="0.2">
      <c r="C1561" s="4" t="s">
        <v>290</v>
      </c>
      <c r="D1561" s="398">
        <f>D1101</f>
        <v>1476406</v>
      </c>
      <c r="E1561" s="71">
        <f>E1101</f>
        <v>15326</v>
      </c>
      <c r="F1561" s="71">
        <f>F1101</f>
        <v>0</v>
      </c>
      <c r="G1561" s="71">
        <f>G1101</f>
        <v>-2770</v>
      </c>
      <c r="H1561" s="398">
        <f>H1101</f>
        <v>1488962</v>
      </c>
    </row>
    <row r="1562" spans="3:8" x14ac:dyDescent="0.2">
      <c r="C1562" s="4" t="s">
        <v>292</v>
      </c>
      <c r="D1562" s="398">
        <f>D1142</f>
        <v>3773449</v>
      </c>
      <c r="E1562" s="71">
        <f>E1142</f>
        <v>27054</v>
      </c>
      <c r="F1562" s="71">
        <f>F1142</f>
        <v>0</v>
      </c>
      <c r="G1562" s="71">
        <f>G1142</f>
        <v>-27158</v>
      </c>
      <c r="H1562" s="398">
        <f>H1142</f>
        <v>3773345</v>
      </c>
    </row>
    <row r="1563" spans="3:8" x14ac:dyDescent="0.2">
      <c r="C1563" s="4" t="s">
        <v>28</v>
      </c>
      <c r="D1563" s="398">
        <f>D1206</f>
        <v>2041601</v>
      </c>
      <c r="E1563" s="71">
        <f>E1206</f>
        <v>19830</v>
      </c>
      <c r="F1563" s="71">
        <f>F1206</f>
        <v>0</v>
      </c>
      <c r="G1563" s="71">
        <f>G1206</f>
        <v>-6626</v>
      </c>
      <c r="H1563" s="398">
        <f>H1206</f>
        <v>2054805</v>
      </c>
    </row>
    <row r="1564" spans="3:8" x14ac:dyDescent="0.2">
      <c r="C1564" s="4" t="s">
        <v>30</v>
      </c>
      <c r="D1564" s="398">
        <f>D1258</f>
        <v>1949609</v>
      </c>
      <c r="E1564" s="71">
        <f>E1258</f>
        <v>13970</v>
      </c>
      <c r="F1564" s="71">
        <f>F1258</f>
        <v>0</v>
      </c>
      <c r="G1564" s="71">
        <f>G1258</f>
        <v>9540</v>
      </c>
      <c r="H1564" s="398">
        <f>H1258</f>
        <v>1973119</v>
      </c>
    </row>
    <row r="1565" spans="3:8" x14ac:dyDescent="0.2">
      <c r="C1565" s="4" t="s">
        <v>31</v>
      </c>
      <c r="D1565" s="398">
        <f>D1325</f>
        <v>1095076</v>
      </c>
      <c r="E1565" s="71">
        <f>E1325</f>
        <v>5134</v>
      </c>
      <c r="F1565" s="71">
        <f>F1325</f>
        <v>0</v>
      </c>
      <c r="G1565" s="71">
        <f>G1325</f>
        <v>98104</v>
      </c>
      <c r="H1565" s="398">
        <f>H1325</f>
        <v>1198314</v>
      </c>
    </row>
    <row r="1566" spans="3:8" x14ac:dyDescent="0.2">
      <c r="C1566" s="4" t="s">
        <v>32</v>
      </c>
      <c r="D1566" s="398">
        <f>D1374</f>
        <v>2712593</v>
      </c>
      <c r="E1566" s="71">
        <f>E1374</f>
        <v>20970</v>
      </c>
      <c r="F1566" s="71">
        <f>F1374</f>
        <v>72318</v>
      </c>
      <c r="G1566" s="71">
        <f>G1374</f>
        <v>-1410</v>
      </c>
      <c r="H1566" s="398">
        <f>H1374</f>
        <v>2804471</v>
      </c>
    </row>
    <row r="1567" spans="3:8" x14ac:dyDescent="0.2">
      <c r="C1567" s="275" t="s">
        <v>717</v>
      </c>
      <c r="D1567" s="396">
        <f>SUM(D1544:D1566)</f>
        <v>306475012</v>
      </c>
      <c r="E1567" s="2">
        <f>SUM(E1544:E1566)</f>
        <v>675454</v>
      </c>
      <c r="F1567" s="2">
        <f t="shared" ref="F1567:H1567" si="93">SUM(F1544:F1566)</f>
        <v>1165755</v>
      </c>
      <c r="G1567" s="2">
        <f t="shared" si="93"/>
        <v>1703912</v>
      </c>
      <c r="H1567" s="396">
        <f t="shared" si="93"/>
        <v>310020133</v>
      </c>
    </row>
    <row r="1568" spans="3:8" x14ac:dyDescent="0.2">
      <c r="C1568" s="4" t="s">
        <v>708</v>
      </c>
      <c r="D1568" s="398">
        <f>D1426</f>
        <v>5000000</v>
      </c>
      <c r="E1568" s="71">
        <f>E1426</f>
        <v>0</v>
      </c>
      <c r="F1568" s="71">
        <f>F1426</f>
        <v>-805931</v>
      </c>
      <c r="G1568" s="71">
        <f>G1426</f>
        <v>-90000</v>
      </c>
      <c r="H1568" s="398">
        <f>H1426</f>
        <v>4104069</v>
      </c>
    </row>
    <row r="1569" spans="3:10" x14ac:dyDescent="0.2">
      <c r="C1569" s="4" t="s">
        <v>719</v>
      </c>
      <c r="D1569" s="398">
        <f>D1436</f>
        <v>1490000</v>
      </c>
      <c r="E1569" s="71">
        <f>E1436</f>
        <v>0</v>
      </c>
      <c r="F1569" s="71">
        <f>F1436</f>
        <v>0</v>
      </c>
      <c r="G1569" s="71">
        <f>G1436</f>
        <v>-53000</v>
      </c>
      <c r="H1569" s="398">
        <f>H1436</f>
        <v>1437000</v>
      </c>
    </row>
    <row r="1570" spans="3:10" x14ac:dyDescent="0.2">
      <c r="C1570" s="4" t="s">
        <v>710</v>
      </c>
      <c r="D1570" s="398">
        <f t="shared" ref="D1570:H1573" si="94">D1438</f>
        <v>1625000</v>
      </c>
      <c r="E1570" s="71">
        <f t="shared" si="94"/>
        <v>0</v>
      </c>
      <c r="F1570" s="71">
        <f t="shared" si="94"/>
        <v>-100800</v>
      </c>
      <c r="G1570" s="71">
        <f t="shared" si="94"/>
        <v>-194970</v>
      </c>
      <c r="H1570" s="398">
        <f t="shared" si="94"/>
        <v>1329230</v>
      </c>
    </row>
    <row r="1571" spans="3:10" x14ac:dyDescent="0.2">
      <c r="C1571" s="4" t="s">
        <v>711</v>
      </c>
      <c r="D1571" s="398">
        <f t="shared" si="94"/>
        <v>100000</v>
      </c>
      <c r="E1571" s="71">
        <f t="shared" si="94"/>
        <v>0</v>
      </c>
      <c r="F1571" s="71">
        <f t="shared" si="94"/>
        <v>0</v>
      </c>
      <c r="G1571" s="71">
        <f t="shared" si="94"/>
        <v>0</v>
      </c>
      <c r="H1571" s="398">
        <f t="shared" si="94"/>
        <v>100000</v>
      </c>
    </row>
    <row r="1572" spans="3:10" x14ac:dyDescent="0.2">
      <c r="C1572" s="276" t="s">
        <v>712</v>
      </c>
      <c r="D1572" s="398">
        <f t="shared" si="94"/>
        <v>100000</v>
      </c>
      <c r="E1572" s="71">
        <f t="shared" si="94"/>
        <v>0</v>
      </c>
      <c r="F1572" s="71">
        <f t="shared" si="94"/>
        <v>0</v>
      </c>
      <c r="G1572" s="71">
        <f t="shared" si="94"/>
        <v>0</v>
      </c>
      <c r="H1572" s="398">
        <f t="shared" si="94"/>
        <v>100000</v>
      </c>
    </row>
    <row r="1573" spans="3:10" x14ac:dyDescent="0.2">
      <c r="C1573" s="99" t="s">
        <v>721</v>
      </c>
      <c r="D1573" s="398">
        <f t="shared" si="94"/>
        <v>1200000</v>
      </c>
      <c r="E1573" s="71">
        <f t="shared" si="94"/>
        <v>0</v>
      </c>
      <c r="F1573" s="71">
        <f t="shared" si="94"/>
        <v>-175527</v>
      </c>
      <c r="G1573" s="71">
        <f t="shared" si="94"/>
        <v>0</v>
      </c>
      <c r="H1573" s="398">
        <f t="shared" si="94"/>
        <v>1024473</v>
      </c>
    </row>
    <row r="1574" spans="3:10" x14ac:dyDescent="0.2">
      <c r="C1574" s="99" t="s">
        <v>718</v>
      </c>
      <c r="D1574" s="398">
        <f>D1428</f>
        <v>700000</v>
      </c>
      <c r="E1574" s="71">
        <f>E1428</f>
        <v>-675454</v>
      </c>
      <c r="F1574" s="71">
        <f>F1428</f>
        <v>-24546</v>
      </c>
      <c r="G1574" s="71">
        <f>G1428</f>
        <v>0</v>
      </c>
      <c r="H1574" s="398">
        <f>H1428</f>
        <v>0</v>
      </c>
    </row>
    <row r="1575" spans="3:10" x14ac:dyDescent="0.2">
      <c r="C1575" s="99" t="s">
        <v>653</v>
      </c>
      <c r="D1575" s="398">
        <f>D1444</f>
        <v>366069</v>
      </c>
      <c r="E1575" s="71">
        <f>E1444</f>
        <v>0</v>
      </c>
      <c r="F1575" s="71">
        <f>F1444</f>
        <v>0</v>
      </c>
      <c r="G1575" s="71">
        <f>G1444</f>
        <v>0</v>
      </c>
      <c r="H1575" s="398">
        <f>H1444</f>
        <v>366069</v>
      </c>
    </row>
    <row r="1576" spans="3:10" x14ac:dyDescent="0.2">
      <c r="C1576" s="4" t="s">
        <v>639</v>
      </c>
      <c r="D1576" s="398">
        <f>D1449</f>
        <v>3500000</v>
      </c>
      <c r="E1576" s="71">
        <f>E1449</f>
        <v>0</v>
      </c>
      <c r="F1576" s="71">
        <f>F1449</f>
        <v>42345</v>
      </c>
      <c r="G1576" s="71">
        <f>G1449</f>
        <v>-491827</v>
      </c>
      <c r="H1576" s="398">
        <f>H1449</f>
        <v>3050518</v>
      </c>
    </row>
    <row r="1577" spans="3:10" x14ac:dyDescent="0.2">
      <c r="C1577" s="275" t="s">
        <v>144</v>
      </c>
      <c r="D1577" s="396">
        <f t="shared" ref="D1577:H1577" si="95">SUM(D1567:D1576)</f>
        <v>320556081</v>
      </c>
      <c r="E1577" s="2">
        <f t="shared" si="95"/>
        <v>0</v>
      </c>
      <c r="F1577" s="2">
        <f t="shared" si="95"/>
        <v>101296</v>
      </c>
      <c r="G1577" s="2">
        <f t="shared" si="95"/>
        <v>874115</v>
      </c>
      <c r="H1577" s="396">
        <f t="shared" si="95"/>
        <v>321531492</v>
      </c>
    </row>
    <row r="1580" spans="3:10" x14ac:dyDescent="0.2">
      <c r="C1580" s="499" t="s">
        <v>833</v>
      </c>
      <c r="D1580" s="500"/>
      <c r="H1580" s="500"/>
    </row>
    <row r="1581" spans="3:10" x14ac:dyDescent="0.2">
      <c r="C1581" s="4" t="s">
        <v>42</v>
      </c>
      <c r="D1581" s="349">
        <f>D11</f>
        <v>28586</v>
      </c>
      <c r="E1581" s="279">
        <f>E11</f>
        <v>0</v>
      </c>
      <c r="F1581" s="279">
        <f>F11</f>
        <v>-1039</v>
      </c>
      <c r="G1581" s="279">
        <f>G11</f>
        <v>0</v>
      </c>
      <c r="H1581" s="349">
        <f>H11</f>
        <v>27547</v>
      </c>
    </row>
    <row r="1582" spans="3:10" x14ac:dyDescent="0.2">
      <c r="C1582" s="4" t="s">
        <v>181</v>
      </c>
      <c r="D1582" s="349">
        <f>D32</f>
        <v>566497</v>
      </c>
      <c r="E1582" s="279">
        <f>E32</f>
        <v>0</v>
      </c>
      <c r="F1582" s="279">
        <f>F32</f>
        <v>0</v>
      </c>
      <c r="G1582" s="279">
        <f>G32</f>
        <v>0</v>
      </c>
      <c r="H1582" s="349">
        <f>H32</f>
        <v>566497</v>
      </c>
    </row>
    <row r="1583" spans="3:10" x14ac:dyDescent="0.2">
      <c r="C1583" s="4" t="s">
        <v>169</v>
      </c>
      <c r="D1583" s="349">
        <f>D118</f>
        <v>29500</v>
      </c>
      <c r="E1583" s="279">
        <f>E118</f>
        <v>0</v>
      </c>
      <c r="F1583" s="279">
        <f>F118</f>
        <v>0</v>
      </c>
      <c r="G1583" s="279">
        <f>G118</f>
        <v>6500</v>
      </c>
      <c r="H1583" s="349">
        <f>H118</f>
        <v>36000</v>
      </c>
      <c r="J1583" s="62"/>
    </row>
    <row r="1584" spans="3:10" x14ac:dyDescent="0.2">
      <c r="C1584" s="4" t="s">
        <v>190</v>
      </c>
      <c r="D1584" s="349">
        <f>D132</f>
        <v>200147</v>
      </c>
      <c r="E1584" s="279">
        <f>E132</f>
        <v>0</v>
      </c>
      <c r="F1584" s="279">
        <f>F132</f>
        <v>0</v>
      </c>
      <c r="G1584" s="279">
        <f>G132</f>
        <v>19530</v>
      </c>
      <c r="H1584" s="349">
        <f>H132</f>
        <v>219677</v>
      </c>
      <c r="J1584" s="62"/>
    </row>
    <row r="1585" spans="3:10" x14ac:dyDescent="0.2">
      <c r="C1585" s="4" t="s">
        <v>192</v>
      </c>
      <c r="D1585" s="349">
        <f>D144</f>
        <v>26580454</v>
      </c>
      <c r="E1585" s="279">
        <f>E144</f>
        <v>0</v>
      </c>
      <c r="F1585" s="279">
        <f>F144</f>
        <v>231847</v>
      </c>
      <c r="G1585" s="279">
        <f>G144</f>
        <v>272934</v>
      </c>
      <c r="H1585" s="349">
        <f>H144</f>
        <v>27085235</v>
      </c>
      <c r="J1585" s="62"/>
    </row>
    <row r="1586" spans="3:10" x14ac:dyDescent="0.2">
      <c r="C1586" s="4" t="s">
        <v>178</v>
      </c>
      <c r="D1586" s="349">
        <f>D219</f>
        <v>4466800</v>
      </c>
      <c r="E1586" s="279">
        <f>E219</f>
        <v>0</v>
      </c>
      <c r="F1586" s="279">
        <f>F219</f>
        <v>91700</v>
      </c>
      <c r="G1586" s="279">
        <f>G219</f>
        <v>440440</v>
      </c>
      <c r="H1586" s="349">
        <f>H219</f>
        <v>4998940</v>
      </c>
      <c r="J1586" s="62"/>
    </row>
    <row r="1587" spans="3:10" x14ac:dyDescent="0.2">
      <c r="C1587" s="4" t="s">
        <v>207</v>
      </c>
      <c r="D1587" s="349">
        <f>D322</f>
        <v>4282365</v>
      </c>
      <c r="E1587" s="279">
        <f>E322</f>
        <v>0</v>
      </c>
      <c r="F1587" s="279">
        <f>F322</f>
        <v>153597</v>
      </c>
      <c r="G1587" s="279">
        <f>G322</f>
        <v>163526</v>
      </c>
      <c r="H1587" s="349">
        <f>H322</f>
        <v>4599488</v>
      </c>
      <c r="J1587" s="62"/>
    </row>
    <row r="1588" spans="3:10" x14ac:dyDescent="0.2">
      <c r="C1588" s="4" t="s">
        <v>176</v>
      </c>
      <c r="D1588" s="349">
        <f>D411</f>
        <v>2371489</v>
      </c>
      <c r="E1588" s="279">
        <f>E411</f>
        <v>0</v>
      </c>
      <c r="F1588" s="279">
        <f>F411</f>
        <v>49790</v>
      </c>
      <c r="G1588" s="279">
        <f>G411</f>
        <v>75321</v>
      </c>
      <c r="H1588" s="349">
        <f>H411</f>
        <v>2496600</v>
      </c>
      <c r="J1588" s="62"/>
    </row>
    <row r="1589" spans="3:10" x14ac:dyDescent="0.2">
      <c r="C1589" s="4" t="s">
        <v>172</v>
      </c>
      <c r="D1589" s="349">
        <f>D612</f>
        <v>2962530</v>
      </c>
      <c r="E1589" s="279">
        <f>E612</f>
        <v>0</v>
      </c>
      <c r="F1589" s="279">
        <f>F612</f>
        <v>17130</v>
      </c>
      <c r="G1589" s="279">
        <f>G612</f>
        <v>-27200</v>
      </c>
      <c r="H1589" s="349">
        <f>H612</f>
        <v>2952460</v>
      </c>
      <c r="J1589" s="62"/>
    </row>
    <row r="1590" spans="3:10" x14ac:dyDescent="0.2">
      <c r="C1590" s="4" t="s">
        <v>167</v>
      </c>
      <c r="D1590" s="349">
        <f>D654</f>
        <v>987183</v>
      </c>
      <c r="E1590" s="279">
        <f>E654</f>
        <v>0</v>
      </c>
      <c r="F1590" s="279">
        <f>F654</f>
        <v>22700</v>
      </c>
      <c r="G1590" s="279">
        <f>G654</f>
        <v>-201070</v>
      </c>
      <c r="H1590" s="349">
        <f>H654</f>
        <v>808813</v>
      </c>
      <c r="J1590" s="62"/>
    </row>
    <row r="1591" spans="3:10" x14ac:dyDescent="0.2">
      <c r="C1591" s="4" t="s">
        <v>168</v>
      </c>
      <c r="D1591" s="349">
        <f>D750</f>
        <v>1278670</v>
      </c>
      <c r="E1591" s="279">
        <f>E750</f>
        <v>0</v>
      </c>
      <c r="F1591" s="279">
        <f>F750</f>
        <v>0</v>
      </c>
      <c r="G1591" s="279">
        <f>G750</f>
        <v>-13400</v>
      </c>
      <c r="H1591" s="349">
        <f>H750</f>
        <v>1265270</v>
      </c>
      <c r="J1591" s="62"/>
    </row>
    <row r="1592" spans="3:10" x14ac:dyDescent="0.2">
      <c r="C1592" s="4" t="s">
        <v>269</v>
      </c>
      <c r="D1592" s="349">
        <f>D807</f>
        <v>753684</v>
      </c>
      <c r="E1592" s="279">
        <f>E807</f>
        <v>0</v>
      </c>
      <c r="F1592" s="279">
        <f>F807</f>
        <v>0</v>
      </c>
      <c r="G1592" s="279">
        <f>G807</f>
        <v>0</v>
      </c>
      <c r="H1592" s="349">
        <f>H807</f>
        <v>753684</v>
      </c>
      <c r="J1592" s="62"/>
    </row>
    <row r="1593" spans="3:10" x14ac:dyDescent="0.2">
      <c r="C1593" s="4" t="s">
        <v>276</v>
      </c>
      <c r="D1593" s="349">
        <f>D880</f>
        <v>2083238</v>
      </c>
      <c r="E1593" s="279">
        <f>E880</f>
        <v>0</v>
      </c>
      <c r="F1593" s="279">
        <f>F880</f>
        <v>4000</v>
      </c>
      <c r="G1593" s="279">
        <f>G880</f>
        <v>470700</v>
      </c>
      <c r="H1593" s="349">
        <f>H880</f>
        <v>2557938</v>
      </c>
      <c r="J1593" s="62"/>
    </row>
    <row r="1594" spans="3:10" x14ac:dyDescent="0.2">
      <c r="C1594" s="4" t="s">
        <v>170</v>
      </c>
      <c r="D1594" s="349">
        <f>D957</f>
        <v>8000</v>
      </c>
      <c r="E1594" s="279">
        <f>E957</f>
        <v>0</v>
      </c>
      <c r="F1594" s="279">
        <f>F957</f>
        <v>0</v>
      </c>
      <c r="G1594" s="279">
        <f>G957</f>
        <v>6000</v>
      </c>
      <c r="H1594" s="349">
        <f>H957</f>
        <v>14000</v>
      </c>
      <c r="J1594" s="62"/>
    </row>
    <row r="1595" spans="3:10" x14ac:dyDescent="0.2">
      <c r="C1595" s="4" t="s">
        <v>282</v>
      </c>
      <c r="D1595" s="349">
        <f>D985</f>
        <v>329407</v>
      </c>
      <c r="E1595" s="279">
        <f>E985</f>
        <v>0</v>
      </c>
      <c r="F1595" s="279">
        <f>F985</f>
        <v>2950</v>
      </c>
      <c r="G1595" s="279">
        <f>G985</f>
        <v>12220</v>
      </c>
      <c r="H1595" s="349">
        <f>H985</f>
        <v>344577</v>
      </c>
      <c r="J1595" s="62"/>
    </row>
    <row r="1596" spans="3:10" x14ac:dyDescent="0.2">
      <c r="C1596" s="4" t="s">
        <v>286</v>
      </c>
      <c r="D1596" s="349">
        <f>D1036</f>
        <v>4409090</v>
      </c>
      <c r="E1596" s="279">
        <f>E1036</f>
        <v>0</v>
      </c>
      <c r="F1596" s="279">
        <f>F1036</f>
        <v>267450</v>
      </c>
      <c r="G1596" s="279">
        <f>G1036</f>
        <v>-10867</v>
      </c>
      <c r="H1596" s="349">
        <f>H1036</f>
        <v>4665673</v>
      </c>
      <c r="J1596" s="62"/>
    </row>
    <row r="1597" spans="3:10" x14ac:dyDescent="0.2">
      <c r="C1597" s="4" t="s">
        <v>290</v>
      </c>
      <c r="D1597" s="349">
        <f>D1100</f>
        <v>285462</v>
      </c>
      <c r="E1597" s="279">
        <f>E1100</f>
        <v>0</v>
      </c>
      <c r="F1597" s="279">
        <f>F1100</f>
        <v>-29462</v>
      </c>
      <c r="G1597" s="279">
        <f>G1100</f>
        <v>-6655</v>
      </c>
      <c r="H1597" s="349">
        <f>H1100</f>
        <v>249345</v>
      </c>
      <c r="J1597" s="62"/>
    </row>
    <row r="1598" spans="3:10" x14ac:dyDescent="0.2">
      <c r="C1598" s="4" t="s">
        <v>292</v>
      </c>
      <c r="D1598" s="349">
        <f>D1141</f>
        <v>1242800</v>
      </c>
      <c r="E1598" s="279">
        <f>E1141</f>
        <v>0</v>
      </c>
      <c r="F1598" s="279">
        <f>F1141</f>
        <v>63790</v>
      </c>
      <c r="G1598" s="279">
        <f>G1141</f>
        <v>24225</v>
      </c>
      <c r="H1598" s="349">
        <f>H1141</f>
        <v>1330815</v>
      </c>
      <c r="J1598" s="62"/>
    </row>
    <row r="1599" spans="3:10" x14ac:dyDescent="0.2">
      <c r="C1599" s="4" t="s">
        <v>28</v>
      </c>
      <c r="D1599" s="349">
        <f>D1205</f>
        <v>669940</v>
      </c>
      <c r="E1599" s="279">
        <f>E1205</f>
        <v>0</v>
      </c>
      <c r="F1599" s="279">
        <f>F1205</f>
        <v>9400</v>
      </c>
      <c r="G1599" s="279">
        <f>G1205</f>
        <v>27039</v>
      </c>
      <c r="H1599" s="349">
        <f>H1205</f>
        <v>706379</v>
      </c>
      <c r="J1599" s="62"/>
    </row>
    <row r="1600" spans="3:10" x14ac:dyDescent="0.2">
      <c r="C1600" s="4" t="s">
        <v>30</v>
      </c>
      <c r="D1600" s="349">
        <f>D1257</f>
        <v>549426</v>
      </c>
      <c r="E1600" s="279">
        <f>E1257</f>
        <v>0</v>
      </c>
      <c r="F1600" s="279">
        <f>F1257</f>
        <v>19000</v>
      </c>
      <c r="G1600" s="279">
        <f>G1257</f>
        <v>23550</v>
      </c>
      <c r="H1600" s="349">
        <f>H1257</f>
        <v>591976</v>
      </c>
      <c r="J1600" s="62"/>
    </row>
    <row r="1601" spans="3:10" x14ac:dyDescent="0.2">
      <c r="C1601" s="4" t="s">
        <v>31</v>
      </c>
      <c r="D1601" s="349">
        <f>D1324</f>
        <v>465150</v>
      </c>
      <c r="E1601" s="279">
        <f>E1324</f>
        <v>0</v>
      </c>
      <c r="F1601" s="279">
        <f>F1324</f>
        <v>-66532</v>
      </c>
      <c r="G1601" s="279">
        <f>G1324</f>
        <v>-77391</v>
      </c>
      <c r="H1601" s="349">
        <f>H1324</f>
        <v>321227</v>
      </c>
      <c r="J1601" s="62"/>
    </row>
    <row r="1602" spans="3:10" x14ac:dyDescent="0.2">
      <c r="C1602" s="4" t="s">
        <v>32</v>
      </c>
      <c r="D1602" s="349">
        <f>D1373</f>
        <v>1265910</v>
      </c>
      <c r="E1602" s="279">
        <f>E1373</f>
        <v>0</v>
      </c>
      <c r="F1602" s="279">
        <f>F1373</f>
        <v>40115</v>
      </c>
      <c r="G1602" s="279">
        <f>G1373</f>
        <v>35174</v>
      </c>
      <c r="H1602" s="349">
        <f>H1373</f>
        <v>1341199</v>
      </c>
      <c r="J1602" s="62"/>
    </row>
    <row r="1603" spans="3:10" x14ac:dyDescent="0.2">
      <c r="C1603" s="275" t="s">
        <v>717</v>
      </c>
      <c r="D1603" s="402">
        <f>SUM(D1581:D1602)</f>
        <v>55816328</v>
      </c>
      <c r="E1603" s="354">
        <f>SUM(E1581:E1602)</f>
        <v>0</v>
      </c>
      <c r="F1603" s="354">
        <f>SUM(F1581:F1602)</f>
        <v>876436</v>
      </c>
      <c r="G1603" s="354">
        <f>SUM(G1581:G1602)</f>
        <v>1240576</v>
      </c>
      <c r="H1603" s="402">
        <f>SUM(H1581:H1602)</f>
        <v>57933340</v>
      </c>
      <c r="J1603" s="62"/>
    </row>
  </sheetData>
  <mergeCells count="6">
    <mergeCell ref="G4:G5"/>
    <mergeCell ref="D3:H3"/>
    <mergeCell ref="D4:D5"/>
    <mergeCell ref="E4:E5"/>
    <mergeCell ref="F4:F5"/>
    <mergeCell ref="H4:H5"/>
  </mergeCells>
  <printOptions gridLines="1"/>
  <pageMargins left="0.98425196850393704" right="0.78740157480314965" top="0.19685039370078741" bottom="0.98425196850393704" header="0.51181102362204722" footer="0.51181102362204722"/>
  <pageSetup paperSize="9" scale="80" fitToHeight="70" orientation="portrait" r:id="rId1"/>
  <headerFooter alignWithMargins="0"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50"/>
  <sheetViews>
    <sheetView workbookViewId="0">
      <pane ySplit="3" topLeftCell="A4" activePane="bottomLeft" state="frozen"/>
      <selection pane="bottomLeft"/>
    </sheetView>
  </sheetViews>
  <sheetFormatPr defaultColWidth="9.140625" defaultRowHeight="12.75" x14ac:dyDescent="0.2"/>
  <cols>
    <col min="1" max="1" width="35.140625" style="314" customWidth="1"/>
    <col min="2" max="2" width="6.28515625" style="313" customWidth="1"/>
    <col min="3" max="3" width="10.28515625" style="313" customWidth="1"/>
    <col min="4" max="4" width="9.5703125" style="313" hidden="1" customWidth="1"/>
    <col min="5" max="5" width="9.140625" style="313" hidden="1" customWidth="1"/>
    <col min="6" max="6" width="10.85546875" style="313" customWidth="1"/>
    <col min="7" max="16384" width="9.140625" style="313"/>
  </cols>
  <sheetData>
    <row r="1" spans="1:6" ht="15" x14ac:dyDescent="0.25">
      <c r="A1" s="337" t="s">
        <v>905</v>
      </c>
      <c r="C1" s="504"/>
      <c r="D1" s="504"/>
      <c r="E1" s="504"/>
      <c r="F1" s="505"/>
    </row>
    <row r="2" spans="1:6" ht="15" x14ac:dyDescent="0.25">
      <c r="A2" s="337"/>
      <c r="C2" s="504"/>
      <c r="D2" s="504"/>
      <c r="E2" s="504"/>
      <c r="F2" s="506" t="s">
        <v>145</v>
      </c>
    </row>
    <row r="3" spans="1:6" ht="38.25" x14ac:dyDescent="0.2">
      <c r="A3" s="621" t="s">
        <v>911</v>
      </c>
      <c r="B3" s="622" t="s">
        <v>912</v>
      </c>
      <c r="C3" s="498" t="s">
        <v>674</v>
      </c>
      <c r="D3" s="498" t="s">
        <v>672</v>
      </c>
      <c r="E3" s="498" t="s">
        <v>844</v>
      </c>
      <c r="F3" s="498" t="s">
        <v>673</v>
      </c>
    </row>
    <row r="4" spans="1:6" x14ac:dyDescent="0.2">
      <c r="A4" s="507"/>
      <c r="B4" s="508"/>
      <c r="C4" s="509"/>
      <c r="D4" s="509"/>
      <c r="E4" s="509"/>
      <c r="F4" s="510"/>
    </row>
    <row r="5" spans="1:6" x14ac:dyDescent="0.2">
      <c r="A5" s="660" t="s">
        <v>913</v>
      </c>
      <c r="B5" s="661"/>
      <c r="C5" s="662"/>
      <c r="D5" s="511"/>
      <c r="E5" s="511"/>
      <c r="F5" s="512"/>
    </row>
    <row r="6" spans="1:6" x14ac:dyDescent="0.2">
      <c r="A6" s="514" t="s">
        <v>914</v>
      </c>
      <c r="B6" s="515" t="s">
        <v>901</v>
      </c>
      <c r="C6" s="513">
        <f t="shared" ref="C6" si="0">C7+C9+C8</f>
        <v>1651771</v>
      </c>
      <c r="D6" s="513">
        <f>D7+D8+D9</f>
        <v>2307212</v>
      </c>
      <c r="E6" s="513">
        <f>E7+E8+E9</f>
        <v>36000</v>
      </c>
      <c r="F6" s="513">
        <f t="shared" ref="F6:F20" si="1">SUM(C6:E6)</f>
        <v>3994983</v>
      </c>
    </row>
    <row r="7" spans="1:6" x14ac:dyDescent="0.2">
      <c r="A7" s="516" t="s">
        <v>915</v>
      </c>
      <c r="B7" s="517" t="s">
        <v>916</v>
      </c>
      <c r="C7" s="518">
        <f>C11+C17+C23</f>
        <v>1059274</v>
      </c>
      <c r="D7" s="518">
        <f>D11+D17+D23</f>
        <v>1781453</v>
      </c>
      <c r="E7" s="518">
        <f>E11+E17+E23</f>
        <v>36000</v>
      </c>
      <c r="F7" s="518">
        <f t="shared" si="1"/>
        <v>2876727</v>
      </c>
    </row>
    <row r="8" spans="1:6" x14ac:dyDescent="0.2">
      <c r="A8" s="519"/>
      <c r="B8" s="517" t="s">
        <v>917</v>
      </c>
      <c r="C8" s="518">
        <f>C24</f>
        <v>125307</v>
      </c>
      <c r="D8" s="518">
        <f>D24</f>
        <v>0</v>
      </c>
      <c r="E8" s="518"/>
      <c r="F8" s="518">
        <f t="shared" si="1"/>
        <v>125307</v>
      </c>
    </row>
    <row r="9" spans="1:6" x14ac:dyDescent="0.2">
      <c r="A9" s="520"/>
      <c r="B9" s="517" t="s">
        <v>918</v>
      </c>
      <c r="C9" s="518">
        <f>C12+C18+C25</f>
        <v>467190</v>
      </c>
      <c r="D9" s="518">
        <f>D15+D21+D25</f>
        <v>525759</v>
      </c>
      <c r="E9" s="518"/>
      <c r="F9" s="518">
        <f t="shared" si="1"/>
        <v>992949</v>
      </c>
    </row>
    <row r="10" spans="1:6" x14ac:dyDescent="0.2">
      <c r="A10" s="521" t="s">
        <v>490</v>
      </c>
      <c r="B10" s="522" t="s">
        <v>901</v>
      </c>
      <c r="C10" s="523">
        <f t="shared" ref="C10" si="2">C11+C12</f>
        <v>936000</v>
      </c>
      <c r="D10" s="523">
        <f>D11</f>
        <v>-200000</v>
      </c>
      <c r="E10" s="523">
        <f>E11</f>
        <v>36000</v>
      </c>
      <c r="F10" s="523">
        <f t="shared" si="1"/>
        <v>772000</v>
      </c>
    </row>
    <row r="11" spans="1:6" x14ac:dyDescent="0.2">
      <c r="A11" s="516" t="s">
        <v>915</v>
      </c>
      <c r="B11" s="517" t="s">
        <v>916</v>
      </c>
      <c r="C11" s="518">
        <f t="shared" ref="C11" si="3">C14</f>
        <v>936000</v>
      </c>
      <c r="D11" s="518">
        <f>D14</f>
        <v>-200000</v>
      </c>
      <c r="E11" s="518">
        <f>E13</f>
        <v>36000</v>
      </c>
      <c r="F11" s="518">
        <f t="shared" si="1"/>
        <v>772000</v>
      </c>
    </row>
    <row r="12" spans="1:6" x14ac:dyDescent="0.2">
      <c r="A12" s="520"/>
      <c r="B12" s="517" t="s">
        <v>918</v>
      </c>
      <c r="C12" s="518"/>
      <c r="D12" s="518"/>
      <c r="E12" s="518"/>
      <c r="F12" s="518">
        <f t="shared" si="1"/>
        <v>0</v>
      </c>
    </row>
    <row r="13" spans="1:6" ht="51" x14ac:dyDescent="0.2">
      <c r="A13" s="524" t="s">
        <v>919</v>
      </c>
      <c r="B13" s="517" t="s">
        <v>901</v>
      </c>
      <c r="C13" s="518">
        <f t="shared" ref="C13" si="4">C14+C15</f>
        <v>936000</v>
      </c>
      <c r="D13" s="518">
        <f>D14</f>
        <v>-200000</v>
      </c>
      <c r="E13" s="518">
        <v>36000</v>
      </c>
      <c r="F13" s="518">
        <f t="shared" si="1"/>
        <v>772000</v>
      </c>
    </row>
    <row r="14" spans="1:6" x14ac:dyDescent="0.2">
      <c r="A14" s="516" t="s">
        <v>915</v>
      </c>
      <c r="B14" s="525" t="s">
        <v>916</v>
      </c>
      <c r="C14" s="526">
        <v>936000</v>
      </c>
      <c r="D14" s="526">
        <v>-200000</v>
      </c>
      <c r="E14" s="526"/>
      <c r="F14" s="526">
        <f t="shared" si="1"/>
        <v>736000</v>
      </c>
    </row>
    <row r="15" spans="1:6" x14ac:dyDescent="0.2">
      <c r="A15" s="520"/>
      <c r="B15" s="527" t="s">
        <v>918</v>
      </c>
      <c r="C15" s="528"/>
      <c r="D15" s="528"/>
      <c r="E15" s="528"/>
      <c r="F15" s="528">
        <f t="shared" si="1"/>
        <v>0</v>
      </c>
    </row>
    <row r="16" spans="1:6" x14ac:dyDescent="0.2">
      <c r="A16" s="529" t="s">
        <v>225</v>
      </c>
      <c r="B16" s="530" t="s">
        <v>901</v>
      </c>
      <c r="C16" s="531">
        <f t="shared" ref="C16" si="5">C17+C18</f>
        <v>21351</v>
      </c>
      <c r="D16" s="531"/>
      <c r="E16" s="531"/>
      <c r="F16" s="531">
        <f t="shared" si="1"/>
        <v>21351</v>
      </c>
    </row>
    <row r="17" spans="1:6" x14ac:dyDescent="0.2">
      <c r="A17" s="516" t="s">
        <v>915</v>
      </c>
      <c r="B17" s="517" t="s">
        <v>916</v>
      </c>
      <c r="C17" s="518">
        <f t="shared" ref="C17:C18" si="6">C20</f>
        <v>21351</v>
      </c>
      <c r="D17" s="518"/>
      <c r="E17" s="518"/>
      <c r="F17" s="518">
        <f t="shared" si="1"/>
        <v>21351</v>
      </c>
    </row>
    <row r="18" spans="1:6" x14ac:dyDescent="0.2">
      <c r="A18" s="520"/>
      <c r="B18" s="527" t="s">
        <v>918</v>
      </c>
      <c r="C18" s="518">
        <f t="shared" si="6"/>
        <v>0</v>
      </c>
      <c r="D18" s="518"/>
      <c r="E18" s="518"/>
      <c r="F18" s="518">
        <f t="shared" si="1"/>
        <v>0</v>
      </c>
    </row>
    <row r="19" spans="1:6" ht="51" x14ac:dyDescent="0.2">
      <c r="A19" s="524" t="s">
        <v>920</v>
      </c>
      <c r="B19" s="517" t="s">
        <v>901</v>
      </c>
      <c r="C19" s="518">
        <f t="shared" ref="C19" si="7">C20+C21</f>
        <v>21351</v>
      </c>
      <c r="D19" s="518"/>
      <c r="E19" s="518"/>
      <c r="F19" s="518">
        <f t="shared" si="1"/>
        <v>21351</v>
      </c>
    </row>
    <row r="20" spans="1:6" x14ac:dyDescent="0.2">
      <c r="A20" s="532" t="s">
        <v>915</v>
      </c>
      <c r="B20" s="524" t="s">
        <v>916</v>
      </c>
      <c r="C20" s="518">
        <v>21351</v>
      </c>
      <c r="D20" s="518"/>
      <c r="E20" s="518"/>
      <c r="F20" s="518">
        <f t="shared" si="1"/>
        <v>21351</v>
      </c>
    </row>
    <row r="21" spans="1:6" x14ac:dyDescent="0.2">
      <c r="A21" s="533"/>
      <c r="B21" s="520" t="s">
        <v>918</v>
      </c>
      <c r="C21" s="528"/>
      <c r="D21" s="528"/>
      <c r="E21" s="528"/>
      <c r="F21" s="528"/>
    </row>
    <row r="22" spans="1:6" x14ac:dyDescent="0.2">
      <c r="A22" s="521" t="s">
        <v>493</v>
      </c>
      <c r="B22" s="522" t="s">
        <v>901</v>
      </c>
      <c r="C22" s="523">
        <f t="shared" ref="C22" si="8">C23+C25+C24</f>
        <v>694420</v>
      </c>
      <c r="D22" s="523">
        <f>D23+D24+D25</f>
        <v>2507212</v>
      </c>
      <c r="E22" s="523">
        <f>E23+E24+E25</f>
        <v>0</v>
      </c>
      <c r="F22" s="523">
        <f t="shared" ref="F22:F39" si="9">SUM(C22:E22)</f>
        <v>3201632</v>
      </c>
    </row>
    <row r="23" spans="1:6" x14ac:dyDescent="0.2">
      <c r="A23" s="516" t="s">
        <v>915</v>
      </c>
      <c r="B23" s="525" t="s">
        <v>916</v>
      </c>
      <c r="C23" s="526">
        <f>C27+C30</f>
        <v>101923</v>
      </c>
      <c r="D23" s="526">
        <f>D30+D32+D35+D38</f>
        <v>1981453</v>
      </c>
      <c r="E23" s="526">
        <f>E30+E32+E35+E38</f>
        <v>0</v>
      </c>
      <c r="F23" s="526">
        <f t="shared" si="9"/>
        <v>2083376</v>
      </c>
    </row>
    <row r="24" spans="1:6" x14ac:dyDescent="0.2">
      <c r="A24" s="519"/>
      <c r="B24" s="517" t="s">
        <v>917</v>
      </c>
      <c r="C24" s="518">
        <f t="shared" ref="C24:C25" si="10">C28</f>
        <v>125307</v>
      </c>
      <c r="D24" s="518">
        <f>D28</f>
        <v>0</v>
      </c>
      <c r="E24" s="518"/>
      <c r="F24" s="518">
        <f t="shared" si="9"/>
        <v>125307</v>
      </c>
    </row>
    <row r="25" spans="1:6" x14ac:dyDescent="0.2">
      <c r="A25" s="520"/>
      <c r="B25" s="527" t="s">
        <v>918</v>
      </c>
      <c r="C25" s="528">
        <f t="shared" si="10"/>
        <v>467190</v>
      </c>
      <c r="D25" s="528">
        <f>D33+D36+D39</f>
        <v>525759</v>
      </c>
      <c r="E25" s="528"/>
      <c r="F25" s="528">
        <f t="shared" si="9"/>
        <v>992949</v>
      </c>
    </row>
    <row r="26" spans="1:6" ht="25.5" x14ac:dyDescent="0.2">
      <c r="A26" s="524" t="s">
        <v>660</v>
      </c>
      <c r="B26" s="517" t="s">
        <v>901</v>
      </c>
      <c r="C26" s="518">
        <f>C27+C28+C29</f>
        <v>635420</v>
      </c>
      <c r="D26" s="518"/>
      <c r="E26" s="518"/>
      <c r="F26" s="518">
        <f t="shared" si="9"/>
        <v>635420</v>
      </c>
    </row>
    <row r="27" spans="1:6" x14ac:dyDescent="0.2">
      <c r="A27" s="534"/>
      <c r="B27" s="535" t="s">
        <v>916</v>
      </c>
      <c r="C27" s="526">
        <v>42923</v>
      </c>
      <c r="D27" s="526"/>
      <c r="E27" s="526"/>
      <c r="F27" s="526">
        <f t="shared" si="9"/>
        <v>42923</v>
      </c>
    </row>
    <row r="28" spans="1:6" x14ac:dyDescent="0.2">
      <c r="A28" s="534"/>
      <c r="B28" s="517" t="s">
        <v>917</v>
      </c>
      <c r="C28" s="518">
        <v>125307</v>
      </c>
      <c r="D28" s="518"/>
      <c r="E28" s="518"/>
      <c r="F28" s="518">
        <f t="shared" si="9"/>
        <v>125307</v>
      </c>
    </row>
    <row r="29" spans="1:6" x14ac:dyDescent="0.2">
      <c r="A29" s="536"/>
      <c r="B29" s="527" t="s">
        <v>918</v>
      </c>
      <c r="C29" s="528">
        <v>467190</v>
      </c>
      <c r="D29" s="528"/>
      <c r="E29" s="528"/>
      <c r="F29" s="528">
        <f t="shared" si="9"/>
        <v>467190</v>
      </c>
    </row>
    <row r="30" spans="1:6" ht="25.5" x14ac:dyDescent="0.2">
      <c r="A30" s="537" t="s">
        <v>921</v>
      </c>
      <c r="B30" s="525" t="s">
        <v>916</v>
      </c>
      <c r="C30" s="538">
        <v>59000</v>
      </c>
      <c r="D30" s="518">
        <v>1833926</v>
      </c>
      <c r="E30" s="538"/>
      <c r="F30" s="518">
        <f t="shared" si="9"/>
        <v>1892926</v>
      </c>
    </row>
    <row r="31" spans="1:6" ht="25.5" x14ac:dyDescent="0.2">
      <c r="A31" s="524" t="s">
        <v>922</v>
      </c>
      <c r="B31" s="517" t="s">
        <v>901</v>
      </c>
      <c r="C31" s="538"/>
      <c r="D31" s="518">
        <f>D32+D33</f>
        <v>67873</v>
      </c>
      <c r="E31" s="538">
        <f>E32</f>
        <v>2399</v>
      </c>
      <c r="F31" s="518">
        <f t="shared" si="9"/>
        <v>70272</v>
      </c>
    </row>
    <row r="32" spans="1:6" x14ac:dyDescent="0.2">
      <c r="A32" s="516" t="s">
        <v>915</v>
      </c>
      <c r="B32" s="517" t="s">
        <v>916</v>
      </c>
      <c r="C32" s="538"/>
      <c r="D32" s="518">
        <v>11314</v>
      </c>
      <c r="E32" s="518">
        <v>2399</v>
      </c>
      <c r="F32" s="518">
        <f t="shared" si="9"/>
        <v>13713</v>
      </c>
    </row>
    <row r="33" spans="1:6" x14ac:dyDescent="0.2">
      <c r="A33" s="520"/>
      <c r="B33" s="527" t="s">
        <v>918</v>
      </c>
      <c r="C33" s="538"/>
      <c r="D33" s="528">
        <v>56559</v>
      </c>
      <c r="E33" s="526"/>
      <c r="F33" s="528">
        <f t="shared" si="9"/>
        <v>56559</v>
      </c>
    </row>
    <row r="34" spans="1:6" ht="25.5" x14ac:dyDescent="0.2">
      <c r="A34" s="524" t="s">
        <v>762</v>
      </c>
      <c r="B34" s="517" t="s">
        <v>901</v>
      </c>
      <c r="C34" s="538"/>
      <c r="D34" s="518">
        <f>D35+D36</f>
        <v>279603</v>
      </c>
      <c r="E34" s="538">
        <f>E35</f>
        <v>-2399</v>
      </c>
      <c r="F34" s="518">
        <f t="shared" si="9"/>
        <v>277204</v>
      </c>
    </row>
    <row r="35" spans="1:6" x14ac:dyDescent="0.2">
      <c r="A35" s="532" t="s">
        <v>915</v>
      </c>
      <c r="B35" s="517" t="s">
        <v>916</v>
      </c>
      <c r="C35" s="538"/>
      <c r="D35" s="518">
        <v>81903</v>
      </c>
      <c r="E35" s="518">
        <v>-2399</v>
      </c>
      <c r="F35" s="518">
        <f t="shared" si="9"/>
        <v>79504</v>
      </c>
    </row>
    <row r="36" spans="1:6" x14ac:dyDescent="0.2">
      <c r="A36" s="533"/>
      <c r="B36" s="527" t="s">
        <v>918</v>
      </c>
      <c r="C36" s="538"/>
      <c r="D36" s="528">
        <v>197700</v>
      </c>
      <c r="E36" s="526"/>
      <c r="F36" s="518">
        <f t="shared" si="9"/>
        <v>197700</v>
      </c>
    </row>
    <row r="37" spans="1:6" ht="24" x14ac:dyDescent="0.2">
      <c r="A37" s="539" t="s">
        <v>923</v>
      </c>
      <c r="B37" s="517" t="s">
        <v>901</v>
      </c>
      <c r="C37" s="538"/>
      <c r="D37" s="518">
        <f>D38+D39</f>
        <v>325810</v>
      </c>
      <c r="E37" s="538"/>
      <c r="F37" s="518">
        <f t="shared" si="9"/>
        <v>325810</v>
      </c>
    </row>
    <row r="38" spans="1:6" x14ac:dyDescent="0.2">
      <c r="A38" s="532" t="s">
        <v>915</v>
      </c>
      <c r="B38" s="517" t="s">
        <v>916</v>
      </c>
      <c r="C38" s="538"/>
      <c r="D38" s="518">
        <v>54310</v>
      </c>
      <c r="E38" s="518"/>
      <c r="F38" s="518">
        <f t="shared" si="9"/>
        <v>54310</v>
      </c>
    </row>
    <row r="39" spans="1:6" x14ac:dyDescent="0.2">
      <c r="A39" s="533"/>
      <c r="B39" s="527" t="s">
        <v>918</v>
      </c>
      <c r="C39" s="538"/>
      <c r="D39" s="528">
        <v>271500</v>
      </c>
      <c r="E39" s="526"/>
      <c r="F39" s="538">
        <f t="shared" si="9"/>
        <v>271500</v>
      </c>
    </row>
    <row r="40" spans="1:6" x14ac:dyDescent="0.2">
      <c r="A40" s="541"/>
      <c r="B40" s="542"/>
      <c r="C40" s="518"/>
      <c r="D40" s="540"/>
      <c r="E40" s="540"/>
      <c r="F40" s="540"/>
    </row>
    <row r="41" spans="1:6" x14ac:dyDescent="0.2">
      <c r="A41" s="660" t="s">
        <v>924</v>
      </c>
      <c r="B41" s="661"/>
      <c r="C41" s="662"/>
      <c r="D41" s="543"/>
      <c r="E41" s="543"/>
      <c r="F41" s="544"/>
    </row>
    <row r="42" spans="1:6" x14ac:dyDescent="0.2">
      <c r="A42" s="514" t="s">
        <v>925</v>
      </c>
      <c r="B42" s="515" t="s">
        <v>901</v>
      </c>
      <c r="C42" s="545">
        <f t="shared" ref="C42" si="11">C43+C44</f>
        <v>38588437</v>
      </c>
      <c r="D42" s="545">
        <f>D43+D44+D45+D46</f>
        <v>2929957</v>
      </c>
      <c r="E42" s="545">
        <f>E43+E44+E45+E46</f>
        <v>493250</v>
      </c>
      <c r="F42" s="545">
        <f t="shared" ref="F42:F73" si="12">SUM(C42:E42)</f>
        <v>42011644</v>
      </c>
    </row>
    <row r="43" spans="1:6" x14ac:dyDescent="0.2">
      <c r="A43" s="516" t="s">
        <v>915</v>
      </c>
      <c r="B43" s="546" t="s">
        <v>916</v>
      </c>
      <c r="C43" s="518">
        <f>C48+C58+C91+C104+C116+C119+C128+C152+C180+C182</f>
        <v>34386472</v>
      </c>
      <c r="D43" s="518">
        <f>D48+D58+D91+D104+D119+D128+D152+D182</f>
        <v>2490506</v>
      </c>
      <c r="E43" s="518">
        <f>E48+E58+E91+E104+E116+E119+E128+E147+E152+E180+E182</f>
        <v>414474</v>
      </c>
      <c r="F43" s="518">
        <f t="shared" si="12"/>
        <v>37291452</v>
      </c>
    </row>
    <row r="44" spans="1:6" x14ac:dyDescent="0.2">
      <c r="A44" s="548"/>
      <c r="B44" s="546" t="s">
        <v>926</v>
      </c>
      <c r="C44" s="518">
        <f>C49+C60+C105+C154</f>
        <v>4201965</v>
      </c>
      <c r="D44" s="518">
        <f>D49+D60+D92+D105+D129+D154</f>
        <v>374451</v>
      </c>
      <c r="E44" s="518">
        <f>E60</f>
        <v>32199</v>
      </c>
      <c r="F44" s="518">
        <f t="shared" si="12"/>
        <v>4608615</v>
      </c>
    </row>
    <row r="45" spans="1:6" x14ac:dyDescent="0.2">
      <c r="A45" s="548"/>
      <c r="B45" s="542" t="s">
        <v>927</v>
      </c>
      <c r="C45" s="518"/>
      <c r="D45" s="518"/>
      <c r="E45" s="518"/>
      <c r="F45" s="518">
        <f t="shared" si="12"/>
        <v>0</v>
      </c>
    </row>
    <row r="46" spans="1:6" x14ac:dyDescent="0.2">
      <c r="A46" s="520"/>
      <c r="B46" s="542" t="s">
        <v>917</v>
      </c>
      <c r="C46" s="518"/>
      <c r="D46" s="518">
        <f>D59</f>
        <v>65000</v>
      </c>
      <c r="E46" s="518">
        <f>E59+E153</f>
        <v>46577</v>
      </c>
      <c r="F46" s="518">
        <f t="shared" si="12"/>
        <v>111577</v>
      </c>
    </row>
    <row r="47" spans="1:6" x14ac:dyDescent="0.2">
      <c r="A47" s="529" t="s">
        <v>489</v>
      </c>
      <c r="B47" s="549" t="s">
        <v>901</v>
      </c>
      <c r="C47" s="523">
        <f>C48+C49</f>
        <v>9033000</v>
      </c>
      <c r="D47" s="523">
        <f>D48+D49</f>
        <v>530099</v>
      </c>
      <c r="E47" s="523">
        <f>E48+E49</f>
        <v>20480</v>
      </c>
      <c r="F47" s="523">
        <f t="shared" si="12"/>
        <v>9583579</v>
      </c>
    </row>
    <row r="48" spans="1:6" x14ac:dyDescent="0.2">
      <c r="A48" s="532" t="s">
        <v>915</v>
      </c>
      <c r="B48" s="524" t="s">
        <v>916</v>
      </c>
      <c r="C48" s="518">
        <f>C51+C53</f>
        <v>8253000</v>
      </c>
      <c r="D48" s="518">
        <f>D51</f>
        <v>501000</v>
      </c>
      <c r="E48" s="518">
        <f>E51+E53+E54+E56</f>
        <v>20480</v>
      </c>
      <c r="F48" s="518">
        <f t="shared" si="12"/>
        <v>8774480</v>
      </c>
    </row>
    <row r="49" spans="1:6" x14ac:dyDescent="0.2">
      <c r="A49" s="533"/>
      <c r="B49" s="520" t="s">
        <v>926</v>
      </c>
      <c r="C49" s="528">
        <f t="shared" ref="C49" si="13">C52</f>
        <v>780000</v>
      </c>
      <c r="D49" s="528">
        <f>D52</f>
        <v>29099</v>
      </c>
      <c r="E49" s="528"/>
      <c r="F49" s="528">
        <f t="shared" si="12"/>
        <v>809099</v>
      </c>
    </row>
    <row r="50" spans="1:6" ht="25.5" x14ac:dyDescent="0.2">
      <c r="A50" s="550" t="s">
        <v>928</v>
      </c>
      <c r="B50" s="551" t="s">
        <v>901</v>
      </c>
      <c r="C50" s="552">
        <f>C51+C52</f>
        <v>5803000</v>
      </c>
      <c r="D50" s="552">
        <f>D51+D52</f>
        <v>530099</v>
      </c>
      <c r="E50" s="552">
        <f>E51+E52</f>
        <v>-15000</v>
      </c>
      <c r="F50" s="552">
        <f t="shared" si="12"/>
        <v>6318099</v>
      </c>
    </row>
    <row r="51" spans="1:6" x14ac:dyDescent="0.2">
      <c r="A51" s="532" t="s">
        <v>915</v>
      </c>
      <c r="B51" s="525" t="s">
        <v>916</v>
      </c>
      <c r="C51" s="526">
        <v>5023000</v>
      </c>
      <c r="D51" s="526">
        <v>501000</v>
      </c>
      <c r="E51" s="526">
        <v>-15000</v>
      </c>
      <c r="F51" s="526">
        <f t="shared" si="12"/>
        <v>5509000</v>
      </c>
    </row>
    <row r="52" spans="1:6" x14ac:dyDescent="0.2">
      <c r="A52" s="553"/>
      <c r="B52" s="527" t="s">
        <v>926</v>
      </c>
      <c r="C52" s="526">
        <v>780000</v>
      </c>
      <c r="D52" s="526">
        <v>29099</v>
      </c>
      <c r="E52" s="526"/>
      <c r="F52" s="526">
        <f t="shared" si="12"/>
        <v>809099</v>
      </c>
    </row>
    <row r="53" spans="1:6" ht="25.5" x14ac:dyDescent="0.2">
      <c r="A53" s="557" t="s">
        <v>929</v>
      </c>
      <c r="B53" s="551" t="s">
        <v>901</v>
      </c>
      <c r="C53" s="558">
        <f>3200000+30000</f>
        <v>3230000</v>
      </c>
      <c r="D53" s="558"/>
      <c r="E53" s="558"/>
      <c r="F53" s="558">
        <f t="shared" si="12"/>
        <v>3230000</v>
      </c>
    </row>
    <row r="54" spans="1:6" x14ac:dyDescent="0.2">
      <c r="A54" s="557" t="s">
        <v>930</v>
      </c>
      <c r="B54" s="551" t="s">
        <v>916</v>
      </c>
      <c r="C54" s="558"/>
      <c r="D54" s="558"/>
      <c r="E54" s="558">
        <f>E55</f>
        <v>15480</v>
      </c>
      <c r="F54" s="558">
        <f t="shared" si="12"/>
        <v>15480</v>
      </c>
    </row>
    <row r="55" spans="1:6" x14ac:dyDescent="0.2">
      <c r="A55" s="556" t="s">
        <v>931</v>
      </c>
      <c r="B55" s="559" t="s">
        <v>916</v>
      </c>
      <c r="C55" s="555"/>
      <c r="D55" s="555"/>
      <c r="E55" s="555">
        <v>15480</v>
      </c>
      <c r="F55" s="555">
        <f t="shared" si="12"/>
        <v>15480</v>
      </c>
    </row>
    <row r="56" spans="1:6" ht="25.5" x14ac:dyDescent="0.2">
      <c r="A56" s="557" t="s">
        <v>932</v>
      </c>
      <c r="B56" s="551" t="s">
        <v>916</v>
      </c>
      <c r="C56" s="558"/>
      <c r="D56" s="558"/>
      <c r="E56" s="558">
        <v>20000</v>
      </c>
      <c r="F56" s="558">
        <f t="shared" si="12"/>
        <v>20000</v>
      </c>
    </row>
    <row r="57" spans="1:6" x14ac:dyDescent="0.2">
      <c r="A57" s="521" t="s">
        <v>488</v>
      </c>
      <c r="B57" s="549" t="s">
        <v>901</v>
      </c>
      <c r="C57" s="523">
        <f t="shared" ref="C57" si="14">C58+C60</f>
        <v>1943600</v>
      </c>
      <c r="D57" s="523">
        <f>D58+D59+D60</f>
        <v>334641</v>
      </c>
      <c r="E57" s="523">
        <f>E58+E59+E60</f>
        <v>170439</v>
      </c>
      <c r="F57" s="523">
        <f t="shared" si="12"/>
        <v>2448680</v>
      </c>
    </row>
    <row r="58" spans="1:6" x14ac:dyDescent="0.2">
      <c r="A58" s="532" t="s">
        <v>915</v>
      </c>
      <c r="B58" s="524" t="s">
        <v>916</v>
      </c>
      <c r="C58" s="526">
        <f>C62+C64+C69+C70+C71+C85+C87+C89++C66+C67+C72</f>
        <v>1621200</v>
      </c>
      <c r="D58" s="526">
        <f>D71+D73+D76+D79+D84</f>
        <v>237593</v>
      </c>
      <c r="E58" s="526">
        <f>E62+E64+E65+E66+E68+E69+E74+E76+E82+E84+E85+E86+E87+E73+E89+E88</f>
        <v>153240</v>
      </c>
      <c r="F58" s="526">
        <f t="shared" si="12"/>
        <v>2012033</v>
      </c>
    </row>
    <row r="59" spans="1:6" x14ac:dyDescent="0.2">
      <c r="A59" s="560"/>
      <c r="B59" s="520" t="s">
        <v>917</v>
      </c>
      <c r="C59" s="518"/>
      <c r="D59" s="518">
        <f>D77</f>
        <v>65000</v>
      </c>
      <c r="E59" s="518">
        <f>E77</f>
        <v>-15000</v>
      </c>
      <c r="F59" s="518">
        <f t="shared" si="12"/>
        <v>50000</v>
      </c>
    </row>
    <row r="60" spans="1:6" x14ac:dyDescent="0.2">
      <c r="A60" s="533"/>
      <c r="B60" s="520" t="s">
        <v>926</v>
      </c>
      <c r="C60" s="518">
        <f t="shared" ref="C60" si="15">C63</f>
        <v>322400</v>
      </c>
      <c r="D60" s="518">
        <f>D63+D80</f>
        <v>32048</v>
      </c>
      <c r="E60" s="518">
        <f>E83</f>
        <v>32199</v>
      </c>
      <c r="F60" s="518">
        <f t="shared" si="12"/>
        <v>386647</v>
      </c>
    </row>
    <row r="61" spans="1:6" x14ac:dyDescent="0.2">
      <c r="A61" s="524" t="s">
        <v>933</v>
      </c>
      <c r="B61" s="517" t="s">
        <v>901</v>
      </c>
      <c r="C61" s="518">
        <f t="shared" ref="C61" si="16">C62+C63</f>
        <v>562400</v>
      </c>
      <c r="D61" s="518">
        <f>D63</f>
        <v>17711</v>
      </c>
      <c r="E61" s="518">
        <f>E62</f>
        <v>1500</v>
      </c>
      <c r="F61" s="518">
        <f t="shared" si="12"/>
        <v>581611</v>
      </c>
    </row>
    <row r="62" spans="1:6" x14ac:dyDescent="0.2">
      <c r="A62" s="532" t="s">
        <v>915</v>
      </c>
      <c r="B62" s="524" t="s">
        <v>916</v>
      </c>
      <c r="C62" s="518">
        <v>240000</v>
      </c>
      <c r="D62" s="518"/>
      <c r="E62" s="518">
        <v>1500</v>
      </c>
      <c r="F62" s="518">
        <f t="shared" si="12"/>
        <v>241500</v>
      </c>
    </row>
    <row r="63" spans="1:6" x14ac:dyDescent="0.2">
      <c r="A63" s="536"/>
      <c r="B63" s="520" t="s">
        <v>926</v>
      </c>
      <c r="C63" s="518">
        <v>322400</v>
      </c>
      <c r="D63" s="518">
        <v>17711</v>
      </c>
      <c r="E63" s="518"/>
      <c r="F63" s="518">
        <f t="shared" si="12"/>
        <v>340111</v>
      </c>
    </row>
    <row r="64" spans="1:6" ht="38.25" x14ac:dyDescent="0.2">
      <c r="A64" s="561" t="s">
        <v>934</v>
      </c>
      <c r="B64" s="562" t="s">
        <v>916</v>
      </c>
      <c r="C64" s="538">
        <v>220000</v>
      </c>
      <c r="D64" s="538"/>
      <c r="E64" s="538">
        <v>14100</v>
      </c>
      <c r="F64" s="538">
        <f t="shared" si="12"/>
        <v>234100</v>
      </c>
    </row>
    <row r="65" spans="1:6" ht="25.5" x14ac:dyDescent="0.2">
      <c r="A65" s="561" t="s">
        <v>935</v>
      </c>
      <c r="B65" s="562" t="s">
        <v>916</v>
      </c>
      <c r="C65" s="538"/>
      <c r="D65" s="538"/>
      <c r="E65" s="538">
        <v>19045</v>
      </c>
      <c r="F65" s="538">
        <f t="shared" si="12"/>
        <v>19045</v>
      </c>
    </row>
    <row r="66" spans="1:6" x14ac:dyDescent="0.2">
      <c r="A66" s="524" t="s">
        <v>936</v>
      </c>
      <c r="B66" s="563" t="s">
        <v>916</v>
      </c>
      <c r="C66" s="518">
        <v>75000</v>
      </c>
      <c r="D66" s="518"/>
      <c r="E66" s="518">
        <v>-9000</v>
      </c>
      <c r="F66" s="518">
        <f t="shared" si="12"/>
        <v>66000</v>
      </c>
    </row>
    <row r="67" spans="1:6" ht="25.5" x14ac:dyDescent="0.2">
      <c r="A67" s="524" t="s">
        <v>937</v>
      </c>
      <c r="B67" s="563" t="s">
        <v>916</v>
      </c>
      <c r="C67" s="518">
        <v>28000</v>
      </c>
      <c r="D67" s="518"/>
      <c r="E67" s="518"/>
      <c r="F67" s="518">
        <f t="shared" si="12"/>
        <v>28000</v>
      </c>
    </row>
    <row r="68" spans="1:6" ht="25.5" x14ac:dyDescent="0.2">
      <c r="A68" s="561" t="s">
        <v>938</v>
      </c>
      <c r="B68" s="562" t="s">
        <v>916</v>
      </c>
      <c r="C68" s="518"/>
      <c r="D68" s="518"/>
      <c r="E68" s="518">
        <v>7680</v>
      </c>
      <c r="F68" s="518">
        <f t="shared" si="12"/>
        <v>7680</v>
      </c>
    </row>
    <row r="69" spans="1:6" x14ac:dyDescent="0.2">
      <c r="A69" s="524" t="s">
        <v>939</v>
      </c>
      <c r="B69" s="563" t="s">
        <v>916</v>
      </c>
      <c r="C69" s="518">
        <v>76700</v>
      </c>
      <c r="D69" s="518"/>
      <c r="E69" s="518">
        <v>9280</v>
      </c>
      <c r="F69" s="518">
        <f t="shared" si="12"/>
        <v>85980</v>
      </c>
    </row>
    <row r="70" spans="1:6" x14ac:dyDescent="0.2">
      <c r="A70" s="524" t="s">
        <v>940</v>
      </c>
      <c r="B70" s="563" t="s">
        <v>916</v>
      </c>
      <c r="C70" s="518">
        <v>265000</v>
      </c>
      <c r="D70" s="518"/>
      <c r="E70" s="518"/>
      <c r="F70" s="518">
        <f t="shared" si="12"/>
        <v>265000</v>
      </c>
    </row>
    <row r="71" spans="1:6" ht="25.5" x14ac:dyDescent="0.2">
      <c r="A71" s="524" t="s">
        <v>941</v>
      </c>
      <c r="B71" s="563" t="s">
        <v>916</v>
      </c>
      <c r="C71" s="518">
        <v>132500</v>
      </c>
      <c r="D71" s="518">
        <v>62000</v>
      </c>
      <c r="E71" s="518"/>
      <c r="F71" s="518">
        <f t="shared" si="12"/>
        <v>194500</v>
      </c>
    </row>
    <row r="72" spans="1:6" ht="25.5" x14ac:dyDescent="0.2">
      <c r="A72" s="524" t="s">
        <v>942</v>
      </c>
      <c r="B72" s="563" t="s">
        <v>916</v>
      </c>
      <c r="C72" s="518">
        <v>59000</v>
      </c>
      <c r="D72" s="518"/>
      <c r="E72" s="518"/>
      <c r="F72" s="518">
        <f t="shared" si="12"/>
        <v>59000</v>
      </c>
    </row>
    <row r="73" spans="1:6" ht="25.5" x14ac:dyDescent="0.2">
      <c r="A73" s="561" t="s">
        <v>943</v>
      </c>
      <c r="B73" s="563" t="s">
        <v>916</v>
      </c>
      <c r="C73" s="518"/>
      <c r="D73" s="518">
        <v>65000</v>
      </c>
      <c r="E73" s="518">
        <v>2528</v>
      </c>
      <c r="F73" s="518">
        <f t="shared" si="12"/>
        <v>67528</v>
      </c>
    </row>
    <row r="74" spans="1:6" ht="25.5" x14ac:dyDescent="0.2">
      <c r="A74" s="561" t="s">
        <v>944</v>
      </c>
      <c r="B74" s="563" t="s">
        <v>916</v>
      </c>
      <c r="C74" s="518"/>
      <c r="D74" s="518"/>
      <c r="E74" s="518">
        <v>56500</v>
      </c>
      <c r="F74" s="518">
        <f t="shared" ref="F74:F105" si="17">SUM(C74:E74)</f>
        <v>56500</v>
      </c>
    </row>
    <row r="75" spans="1:6" ht="25.5" x14ac:dyDescent="0.2">
      <c r="A75" s="561" t="s">
        <v>945</v>
      </c>
      <c r="B75" s="563" t="s">
        <v>901</v>
      </c>
      <c r="C75" s="518"/>
      <c r="D75" s="518">
        <f>D76+D77</f>
        <v>135000</v>
      </c>
      <c r="E75" s="518">
        <f>E76+E77</f>
        <v>-3000</v>
      </c>
      <c r="F75" s="518">
        <f t="shared" si="17"/>
        <v>132000</v>
      </c>
    </row>
    <row r="76" spans="1:6" x14ac:dyDescent="0.2">
      <c r="A76" s="532" t="s">
        <v>915</v>
      </c>
      <c r="B76" s="524" t="s">
        <v>916</v>
      </c>
      <c r="C76" s="518"/>
      <c r="D76" s="518">
        <v>70000</v>
      </c>
      <c r="E76" s="518">
        <v>12000</v>
      </c>
      <c r="F76" s="518">
        <f t="shared" si="17"/>
        <v>82000</v>
      </c>
    </row>
    <row r="77" spans="1:6" x14ac:dyDescent="0.2">
      <c r="A77" s="536"/>
      <c r="B77" s="520" t="s">
        <v>917</v>
      </c>
      <c r="C77" s="518"/>
      <c r="D77" s="518">
        <v>65000</v>
      </c>
      <c r="E77" s="518">
        <v>-15000</v>
      </c>
      <c r="F77" s="518">
        <f t="shared" si="17"/>
        <v>50000</v>
      </c>
    </row>
    <row r="78" spans="1:6" ht="25.5" x14ac:dyDescent="0.2">
      <c r="A78" s="524" t="s">
        <v>946</v>
      </c>
      <c r="B78" s="517" t="s">
        <v>901</v>
      </c>
      <c r="C78" s="518"/>
      <c r="D78" s="518">
        <f>D79+D80</f>
        <v>15930</v>
      </c>
      <c r="E78" s="518"/>
      <c r="F78" s="518">
        <f t="shared" si="17"/>
        <v>15930</v>
      </c>
    </row>
    <row r="79" spans="1:6" x14ac:dyDescent="0.2">
      <c r="A79" s="532" t="s">
        <v>915</v>
      </c>
      <c r="B79" s="524" t="s">
        <v>916</v>
      </c>
      <c r="C79" s="518"/>
      <c r="D79" s="518">
        <v>1593</v>
      </c>
      <c r="E79" s="518"/>
      <c r="F79" s="518">
        <f t="shared" si="17"/>
        <v>1593</v>
      </c>
    </row>
    <row r="80" spans="1:6" x14ac:dyDescent="0.2">
      <c r="A80" s="536"/>
      <c r="B80" s="520" t="s">
        <v>926</v>
      </c>
      <c r="C80" s="518"/>
      <c r="D80" s="518">
        <v>14337</v>
      </c>
      <c r="E80" s="518"/>
      <c r="F80" s="518">
        <f t="shared" si="17"/>
        <v>14337</v>
      </c>
    </row>
    <row r="81" spans="1:6" ht="25.5" x14ac:dyDescent="0.2">
      <c r="A81" s="524" t="s">
        <v>947</v>
      </c>
      <c r="B81" s="517" t="s">
        <v>901</v>
      </c>
      <c r="C81" s="518"/>
      <c r="D81" s="518"/>
      <c r="E81" s="518">
        <f>E82+E83</f>
        <v>35777</v>
      </c>
      <c r="F81" s="518">
        <f t="shared" si="17"/>
        <v>35777</v>
      </c>
    </row>
    <row r="82" spans="1:6" x14ac:dyDescent="0.2">
      <c r="A82" s="532" t="s">
        <v>915</v>
      </c>
      <c r="B82" s="524" t="s">
        <v>916</v>
      </c>
      <c r="C82" s="518"/>
      <c r="D82" s="518"/>
      <c r="E82" s="518">
        <v>3578</v>
      </c>
      <c r="F82" s="518">
        <f t="shared" si="17"/>
        <v>3578</v>
      </c>
    </row>
    <row r="83" spans="1:6" x14ac:dyDescent="0.2">
      <c r="A83" s="536"/>
      <c r="B83" s="520" t="s">
        <v>926</v>
      </c>
      <c r="C83" s="518"/>
      <c r="D83" s="518"/>
      <c r="E83" s="518">
        <v>32199</v>
      </c>
      <c r="F83" s="518">
        <f t="shared" si="17"/>
        <v>32199</v>
      </c>
    </row>
    <row r="84" spans="1:6" ht="38.25" x14ac:dyDescent="0.2">
      <c r="A84" s="561" t="s">
        <v>948</v>
      </c>
      <c r="B84" s="564" t="s">
        <v>916</v>
      </c>
      <c r="C84" s="518"/>
      <c r="D84" s="518">
        <v>39000</v>
      </c>
      <c r="E84" s="518">
        <v>13909</v>
      </c>
      <c r="F84" s="518">
        <f t="shared" si="17"/>
        <v>52909</v>
      </c>
    </row>
    <row r="85" spans="1:6" x14ac:dyDescent="0.2">
      <c r="A85" s="524" t="s">
        <v>949</v>
      </c>
      <c r="B85" s="563" t="s">
        <v>916</v>
      </c>
      <c r="C85" s="518">
        <v>200000</v>
      </c>
      <c r="D85" s="518"/>
      <c r="E85" s="518">
        <v>-24600</v>
      </c>
      <c r="F85" s="518">
        <f t="shared" si="17"/>
        <v>175400</v>
      </c>
    </row>
    <row r="86" spans="1:6" x14ac:dyDescent="0.2">
      <c r="A86" s="524" t="s">
        <v>950</v>
      </c>
      <c r="B86" s="565" t="s">
        <v>916</v>
      </c>
      <c r="C86" s="518"/>
      <c r="D86" s="518"/>
      <c r="E86" s="518">
        <v>15000</v>
      </c>
      <c r="F86" s="518">
        <f t="shared" si="17"/>
        <v>15000</v>
      </c>
    </row>
    <row r="87" spans="1:6" ht="25.5" x14ac:dyDescent="0.2">
      <c r="A87" s="524" t="s">
        <v>951</v>
      </c>
      <c r="B87" s="563" t="s">
        <v>916</v>
      </c>
      <c r="C87" s="518">
        <v>225000</v>
      </c>
      <c r="D87" s="518"/>
      <c r="E87" s="518"/>
      <c r="F87" s="518">
        <f t="shared" si="17"/>
        <v>225000</v>
      </c>
    </row>
    <row r="88" spans="1:6" s="619" customFormat="1" x14ac:dyDescent="0.2">
      <c r="A88" s="524" t="s">
        <v>952</v>
      </c>
      <c r="B88" s="563" t="s">
        <v>916</v>
      </c>
      <c r="C88" s="518"/>
      <c r="D88" s="518"/>
      <c r="E88" s="518">
        <v>11000</v>
      </c>
      <c r="F88" s="518">
        <f t="shared" si="17"/>
        <v>11000</v>
      </c>
    </row>
    <row r="89" spans="1:6" ht="25.5" x14ac:dyDescent="0.2">
      <c r="A89" s="524" t="s">
        <v>953</v>
      </c>
      <c r="B89" s="563" t="s">
        <v>916</v>
      </c>
      <c r="C89" s="518">
        <v>100000</v>
      </c>
      <c r="D89" s="518"/>
      <c r="E89" s="518">
        <v>20720</v>
      </c>
      <c r="F89" s="518">
        <f t="shared" si="17"/>
        <v>120720</v>
      </c>
    </row>
    <row r="90" spans="1:6" x14ac:dyDescent="0.2">
      <c r="A90" s="521" t="s">
        <v>902</v>
      </c>
      <c r="B90" s="549" t="s">
        <v>901</v>
      </c>
      <c r="C90" s="523">
        <f>C91</f>
        <v>5580000</v>
      </c>
      <c r="D90" s="523">
        <f>D91</f>
        <v>280000</v>
      </c>
      <c r="E90" s="523">
        <f>E91</f>
        <v>-36000</v>
      </c>
      <c r="F90" s="523">
        <f t="shared" si="17"/>
        <v>5824000</v>
      </c>
    </row>
    <row r="91" spans="1:6" x14ac:dyDescent="0.2">
      <c r="A91" s="532" t="s">
        <v>915</v>
      </c>
      <c r="B91" s="524" t="s">
        <v>916</v>
      </c>
      <c r="C91" s="518">
        <f>SUM(C93:C99)</f>
        <v>5580000</v>
      </c>
      <c r="D91" s="518">
        <f>D99+D101+D102</f>
        <v>280000</v>
      </c>
      <c r="E91" s="518">
        <f>E93+E100+E101</f>
        <v>-36000</v>
      </c>
      <c r="F91" s="518">
        <f t="shared" si="17"/>
        <v>5824000</v>
      </c>
    </row>
    <row r="92" spans="1:6" x14ac:dyDescent="0.2">
      <c r="A92" s="533"/>
      <c r="B92" s="520" t="s">
        <v>926</v>
      </c>
      <c r="C92" s="518"/>
      <c r="D92" s="518"/>
      <c r="E92" s="518"/>
      <c r="F92" s="518">
        <f t="shared" si="17"/>
        <v>0</v>
      </c>
    </row>
    <row r="93" spans="1:6" ht="25.5" x14ac:dyDescent="0.2">
      <c r="A93" s="524" t="s">
        <v>954</v>
      </c>
      <c r="B93" s="517" t="s">
        <v>916</v>
      </c>
      <c r="C93" s="518">
        <v>4000000</v>
      </c>
      <c r="D93" s="518"/>
      <c r="E93" s="518">
        <v>-261000</v>
      </c>
      <c r="F93" s="518">
        <f t="shared" si="17"/>
        <v>3739000</v>
      </c>
    </row>
    <row r="94" spans="1:6" x14ac:dyDescent="0.2">
      <c r="A94" s="566" t="s">
        <v>955</v>
      </c>
      <c r="B94" s="517" t="s">
        <v>916</v>
      </c>
      <c r="C94" s="518">
        <v>850000</v>
      </c>
      <c r="D94" s="518"/>
      <c r="E94" s="518"/>
      <c r="F94" s="518">
        <f t="shared" si="17"/>
        <v>850000</v>
      </c>
    </row>
    <row r="95" spans="1:6" x14ac:dyDescent="0.2">
      <c r="A95" s="567" t="s">
        <v>956</v>
      </c>
      <c r="B95" s="568"/>
      <c r="C95" s="569"/>
      <c r="D95" s="569">
        <v>21758</v>
      </c>
      <c r="E95" s="569"/>
      <c r="F95" s="569">
        <f t="shared" si="17"/>
        <v>21758</v>
      </c>
    </row>
    <row r="96" spans="1:6" ht="25.5" x14ac:dyDescent="0.2">
      <c r="A96" s="566" t="s">
        <v>957</v>
      </c>
      <c r="B96" s="517" t="s">
        <v>916</v>
      </c>
      <c r="C96" s="518">
        <v>400000</v>
      </c>
      <c r="D96" s="518"/>
      <c r="E96" s="518"/>
      <c r="F96" s="518">
        <f t="shared" si="17"/>
        <v>400000</v>
      </c>
    </row>
    <row r="97" spans="1:6" ht="38.25" x14ac:dyDescent="0.2">
      <c r="A97" s="566" t="s">
        <v>958</v>
      </c>
      <c r="B97" s="570" t="s">
        <v>916</v>
      </c>
      <c r="C97" s="518">
        <v>160000</v>
      </c>
      <c r="D97" s="518"/>
      <c r="E97" s="518"/>
      <c r="F97" s="518">
        <f t="shared" si="17"/>
        <v>160000</v>
      </c>
    </row>
    <row r="98" spans="1:6" ht="38.25" x14ac:dyDescent="0.2">
      <c r="A98" s="541" t="s">
        <v>959</v>
      </c>
      <c r="B98" s="570" t="s">
        <v>916</v>
      </c>
      <c r="C98" s="518">
        <v>20000</v>
      </c>
      <c r="D98" s="518"/>
      <c r="E98" s="518"/>
      <c r="F98" s="518">
        <f t="shared" si="17"/>
        <v>20000</v>
      </c>
    </row>
    <row r="99" spans="1:6" ht="25.5" x14ac:dyDescent="0.2">
      <c r="A99" s="524" t="s">
        <v>960</v>
      </c>
      <c r="B99" s="517" t="s">
        <v>916</v>
      </c>
      <c r="C99" s="518">
        <v>150000</v>
      </c>
      <c r="D99" s="518">
        <v>-68683</v>
      </c>
      <c r="E99" s="518"/>
      <c r="F99" s="518">
        <f t="shared" si="17"/>
        <v>81317</v>
      </c>
    </row>
    <row r="100" spans="1:6" ht="25.5" x14ac:dyDescent="0.2">
      <c r="A100" s="524" t="s">
        <v>961</v>
      </c>
      <c r="B100" s="517" t="s">
        <v>916</v>
      </c>
      <c r="C100" s="528"/>
      <c r="D100" s="528"/>
      <c r="E100" s="528">
        <v>35000</v>
      </c>
      <c r="F100" s="518">
        <f t="shared" si="17"/>
        <v>35000</v>
      </c>
    </row>
    <row r="101" spans="1:6" x14ac:dyDescent="0.2">
      <c r="A101" s="524" t="s">
        <v>962</v>
      </c>
      <c r="B101" s="517" t="s">
        <v>916</v>
      </c>
      <c r="C101" s="528"/>
      <c r="D101" s="528">
        <v>268683</v>
      </c>
      <c r="E101" s="528">
        <v>190000</v>
      </c>
      <c r="F101" s="518">
        <f t="shared" si="17"/>
        <v>458683</v>
      </c>
    </row>
    <row r="102" spans="1:6" ht="25.5" x14ac:dyDescent="0.2">
      <c r="A102" s="524" t="s">
        <v>963</v>
      </c>
      <c r="B102" s="517" t="s">
        <v>916</v>
      </c>
      <c r="C102" s="528"/>
      <c r="D102" s="528">
        <v>80000</v>
      </c>
      <c r="E102" s="528"/>
      <c r="F102" s="518">
        <f t="shared" si="17"/>
        <v>80000</v>
      </c>
    </row>
    <row r="103" spans="1:6" x14ac:dyDescent="0.2">
      <c r="A103" s="521" t="s">
        <v>964</v>
      </c>
      <c r="B103" s="522" t="s">
        <v>901</v>
      </c>
      <c r="C103" s="523">
        <f>C104+C105</f>
        <v>1496145</v>
      </c>
      <c r="D103" s="523">
        <f>D104+D105</f>
        <v>26322</v>
      </c>
      <c r="E103" s="523">
        <f>E104</f>
        <v>13500</v>
      </c>
      <c r="F103" s="523">
        <f t="shared" si="17"/>
        <v>1535967</v>
      </c>
    </row>
    <row r="104" spans="1:6" x14ac:dyDescent="0.2">
      <c r="A104" s="532" t="s">
        <v>915</v>
      </c>
      <c r="B104" s="517" t="s">
        <v>916</v>
      </c>
      <c r="C104" s="518">
        <f>SUM(C107:C111)+C113</f>
        <v>1196580</v>
      </c>
      <c r="D104" s="518">
        <f>D109+D111+D113+D115</f>
        <v>325887</v>
      </c>
      <c r="E104" s="518">
        <f>E110</f>
        <v>13500</v>
      </c>
      <c r="F104" s="518">
        <f t="shared" si="17"/>
        <v>1535967</v>
      </c>
    </row>
    <row r="105" spans="1:6" x14ac:dyDescent="0.2">
      <c r="A105" s="534"/>
      <c r="B105" s="517" t="s">
        <v>927</v>
      </c>
      <c r="C105" s="547">
        <f>C114</f>
        <v>299565</v>
      </c>
      <c r="D105" s="518">
        <f>D114</f>
        <v>-299565</v>
      </c>
      <c r="E105" s="518"/>
      <c r="F105" s="518">
        <f t="shared" si="17"/>
        <v>0</v>
      </c>
    </row>
    <row r="106" spans="1:6" x14ac:dyDescent="0.2">
      <c r="A106" s="534"/>
      <c r="B106" s="517" t="s">
        <v>926</v>
      </c>
      <c r="C106" s="518"/>
      <c r="D106" s="518"/>
      <c r="E106" s="518"/>
      <c r="F106" s="518">
        <f t="shared" ref="F106:F137" si="18">SUM(C106:E106)</f>
        <v>0</v>
      </c>
    </row>
    <row r="107" spans="1:6" ht="25.5" x14ac:dyDescent="0.2">
      <c r="A107" s="524" t="s">
        <v>965</v>
      </c>
      <c r="B107" s="517" t="s">
        <v>916</v>
      </c>
      <c r="C107" s="518">
        <v>670580</v>
      </c>
      <c r="D107" s="518"/>
      <c r="E107" s="518"/>
      <c r="F107" s="518">
        <f t="shared" si="18"/>
        <v>670580</v>
      </c>
    </row>
    <row r="108" spans="1:6" ht="25.5" x14ac:dyDescent="0.2">
      <c r="A108" s="572" t="s">
        <v>966</v>
      </c>
      <c r="B108" s="570" t="s">
        <v>916</v>
      </c>
      <c r="C108" s="573">
        <v>100000</v>
      </c>
      <c r="D108" s="573"/>
      <c r="E108" s="573"/>
      <c r="F108" s="573">
        <f t="shared" si="18"/>
        <v>100000</v>
      </c>
    </row>
    <row r="109" spans="1:6" ht="38.25" x14ac:dyDescent="0.2">
      <c r="A109" s="572" t="s">
        <v>967</v>
      </c>
      <c r="B109" s="570" t="s">
        <v>916</v>
      </c>
      <c r="C109" s="573">
        <v>190000</v>
      </c>
      <c r="D109" s="573">
        <v>25000</v>
      </c>
      <c r="E109" s="573"/>
      <c r="F109" s="573">
        <f t="shared" si="18"/>
        <v>215000</v>
      </c>
    </row>
    <row r="110" spans="1:6" ht="25.5" x14ac:dyDescent="0.2">
      <c r="A110" s="572" t="s">
        <v>968</v>
      </c>
      <c r="B110" s="570" t="s">
        <v>916</v>
      </c>
      <c r="C110" s="573"/>
      <c r="D110" s="573"/>
      <c r="E110" s="573">
        <v>13500</v>
      </c>
      <c r="F110" s="573">
        <f t="shared" si="18"/>
        <v>13500</v>
      </c>
    </row>
    <row r="111" spans="1:6" ht="25.5" x14ac:dyDescent="0.2">
      <c r="A111" s="572" t="s">
        <v>969</v>
      </c>
      <c r="B111" s="570" t="s">
        <v>916</v>
      </c>
      <c r="C111" s="573">
        <v>200000</v>
      </c>
      <c r="D111" s="573">
        <v>50000</v>
      </c>
      <c r="E111" s="573"/>
      <c r="F111" s="573">
        <f t="shared" si="18"/>
        <v>250000</v>
      </c>
    </row>
    <row r="112" spans="1:6" ht="25.5" x14ac:dyDescent="0.2">
      <c r="A112" s="524" t="s">
        <v>970</v>
      </c>
      <c r="B112" s="517" t="s">
        <v>901</v>
      </c>
      <c r="C112" s="518">
        <f t="shared" ref="C112" si="19">C113+C114</f>
        <v>335565</v>
      </c>
      <c r="D112" s="518">
        <f>D113+D114</f>
        <v>-61378</v>
      </c>
      <c r="E112" s="518"/>
      <c r="F112" s="518">
        <f t="shared" si="18"/>
        <v>274187</v>
      </c>
    </row>
    <row r="113" spans="1:6" x14ac:dyDescent="0.2">
      <c r="A113" s="532" t="s">
        <v>915</v>
      </c>
      <c r="B113" s="517" t="s">
        <v>916</v>
      </c>
      <c r="C113" s="518">
        <v>36000</v>
      </c>
      <c r="D113" s="518">
        <v>238187</v>
      </c>
      <c r="E113" s="518"/>
      <c r="F113" s="518">
        <f t="shared" si="18"/>
        <v>274187</v>
      </c>
    </row>
    <row r="114" spans="1:6" x14ac:dyDescent="0.2">
      <c r="A114" s="534"/>
      <c r="B114" s="535" t="s">
        <v>927</v>
      </c>
      <c r="C114" s="518">
        <v>299565</v>
      </c>
      <c r="D114" s="518">
        <v>-299565</v>
      </c>
      <c r="E114" s="518"/>
      <c r="F114" s="518">
        <f t="shared" si="18"/>
        <v>0</v>
      </c>
    </row>
    <row r="115" spans="1:6" ht="25.5" x14ac:dyDescent="0.2">
      <c r="A115" s="524" t="s">
        <v>972</v>
      </c>
      <c r="B115" s="517" t="s">
        <v>916</v>
      </c>
      <c r="C115" s="518"/>
      <c r="D115" s="518">
        <v>12700</v>
      </c>
      <c r="E115" s="518"/>
      <c r="F115" s="518">
        <f t="shared" si="18"/>
        <v>12700</v>
      </c>
    </row>
    <row r="116" spans="1:6" x14ac:dyDescent="0.2">
      <c r="A116" s="521" t="s">
        <v>904</v>
      </c>
      <c r="B116" s="522" t="s">
        <v>901</v>
      </c>
      <c r="C116" s="523">
        <f>C117+C118</f>
        <v>600000</v>
      </c>
      <c r="D116" s="523"/>
      <c r="E116" s="523"/>
      <c r="F116" s="523">
        <f t="shared" si="18"/>
        <v>600000</v>
      </c>
    </row>
    <row r="117" spans="1:6" ht="38.25" x14ac:dyDescent="0.2">
      <c r="A117" s="572" t="s">
        <v>973</v>
      </c>
      <c r="B117" s="570" t="s">
        <v>916</v>
      </c>
      <c r="C117" s="573">
        <v>400000</v>
      </c>
      <c r="D117" s="573"/>
      <c r="E117" s="573"/>
      <c r="F117" s="573">
        <f t="shared" si="18"/>
        <v>400000</v>
      </c>
    </row>
    <row r="118" spans="1:6" ht="25.5" x14ac:dyDescent="0.2">
      <c r="A118" s="572" t="s">
        <v>974</v>
      </c>
      <c r="B118" s="570" t="s">
        <v>916</v>
      </c>
      <c r="C118" s="573">
        <v>200000</v>
      </c>
      <c r="D118" s="573"/>
      <c r="E118" s="573"/>
      <c r="F118" s="573">
        <f t="shared" si="18"/>
        <v>200000</v>
      </c>
    </row>
    <row r="119" spans="1:6" x14ac:dyDescent="0.2">
      <c r="A119" s="574" t="s">
        <v>491</v>
      </c>
      <c r="B119" s="575" t="s">
        <v>901</v>
      </c>
      <c r="C119" s="576">
        <f>SUM(C120:C123)</f>
        <v>1948752</v>
      </c>
      <c r="D119" s="576">
        <f>D123+D124+D125+D126</f>
        <v>203550</v>
      </c>
      <c r="E119" s="576">
        <f>E123+E125+E126</f>
        <v>-47733</v>
      </c>
      <c r="F119" s="576">
        <f t="shared" si="18"/>
        <v>2104569</v>
      </c>
    </row>
    <row r="120" spans="1:6" x14ac:dyDescent="0.2">
      <c r="A120" s="572" t="s">
        <v>975</v>
      </c>
      <c r="B120" s="570" t="s">
        <v>916</v>
      </c>
      <c r="C120" s="573">
        <v>40000</v>
      </c>
      <c r="D120" s="573"/>
      <c r="E120" s="573"/>
      <c r="F120" s="573">
        <f t="shared" si="18"/>
        <v>40000</v>
      </c>
    </row>
    <row r="121" spans="1:6" ht="38.25" x14ac:dyDescent="0.2">
      <c r="A121" s="572" t="s">
        <v>976</v>
      </c>
      <c r="B121" s="570" t="s">
        <v>916</v>
      </c>
      <c r="C121" s="573">
        <v>180000</v>
      </c>
      <c r="D121" s="573"/>
      <c r="E121" s="573"/>
      <c r="F121" s="573">
        <f t="shared" si="18"/>
        <v>180000</v>
      </c>
    </row>
    <row r="122" spans="1:6" ht="25.5" x14ac:dyDescent="0.2">
      <c r="A122" s="524" t="s">
        <v>977</v>
      </c>
      <c r="B122" s="570" t="s">
        <v>916</v>
      </c>
      <c r="C122" s="573">
        <v>78752</v>
      </c>
      <c r="D122" s="573"/>
      <c r="E122" s="573"/>
      <c r="F122" s="573">
        <f t="shared" si="18"/>
        <v>78752</v>
      </c>
    </row>
    <row r="123" spans="1:6" ht="38.25" x14ac:dyDescent="0.2">
      <c r="A123" s="577" t="s">
        <v>978</v>
      </c>
      <c r="B123" s="570" t="s">
        <v>916</v>
      </c>
      <c r="C123" s="573">
        <v>1650000</v>
      </c>
      <c r="D123" s="573">
        <v>26900</v>
      </c>
      <c r="E123" s="573">
        <v>-76900</v>
      </c>
      <c r="F123" s="573">
        <f t="shared" si="18"/>
        <v>1600000</v>
      </c>
    </row>
    <row r="124" spans="1:6" x14ac:dyDescent="0.2">
      <c r="A124" s="572" t="s">
        <v>979</v>
      </c>
      <c r="B124" s="570" t="s">
        <v>916</v>
      </c>
      <c r="C124" s="573"/>
      <c r="D124" s="573">
        <v>26650</v>
      </c>
      <c r="E124" s="573"/>
      <c r="F124" s="518">
        <f t="shared" si="18"/>
        <v>26650</v>
      </c>
    </row>
    <row r="125" spans="1:6" x14ac:dyDescent="0.2">
      <c r="A125" s="572" t="s">
        <v>980</v>
      </c>
      <c r="B125" s="570" t="s">
        <v>916</v>
      </c>
      <c r="C125" s="573"/>
      <c r="D125" s="518">
        <v>110000</v>
      </c>
      <c r="E125" s="518">
        <v>16000</v>
      </c>
      <c r="F125" s="518">
        <f t="shared" si="18"/>
        <v>126000</v>
      </c>
    </row>
    <row r="126" spans="1:6" x14ac:dyDescent="0.2">
      <c r="A126" s="572" t="s">
        <v>981</v>
      </c>
      <c r="B126" s="570" t="s">
        <v>916</v>
      </c>
      <c r="C126" s="573"/>
      <c r="D126" s="573">
        <v>40000</v>
      </c>
      <c r="E126" s="573">
        <v>13167</v>
      </c>
      <c r="F126" s="518">
        <f t="shared" si="18"/>
        <v>53167</v>
      </c>
    </row>
    <row r="127" spans="1:6" x14ac:dyDescent="0.2">
      <c r="A127" s="521" t="s">
        <v>492</v>
      </c>
      <c r="B127" s="522" t="s">
        <v>901</v>
      </c>
      <c r="C127" s="523">
        <f>C128</f>
        <v>801800</v>
      </c>
      <c r="D127" s="523">
        <f>D128+D129</f>
        <v>266198</v>
      </c>
      <c r="E127" s="523">
        <f>E128</f>
        <v>-300</v>
      </c>
      <c r="F127" s="523">
        <f t="shared" si="18"/>
        <v>1067698</v>
      </c>
    </row>
    <row r="128" spans="1:6" x14ac:dyDescent="0.2">
      <c r="A128" s="532" t="s">
        <v>915</v>
      </c>
      <c r="B128" s="517" t="s">
        <v>916</v>
      </c>
      <c r="C128" s="518">
        <f>SUM(C130:C135)</f>
        <v>801800</v>
      </c>
      <c r="D128" s="518">
        <f>D131+D133+D134+D137+D140+D142+D143+D144</f>
        <v>236198</v>
      </c>
      <c r="E128" s="518">
        <f>E142+E144+E145</f>
        <v>-300</v>
      </c>
      <c r="F128" s="518">
        <f t="shared" si="18"/>
        <v>1037698</v>
      </c>
    </row>
    <row r="129" spans="1:6" x14ac:dyDescent="0.2">
      <c r="A129" s="534"/>
      <c r="B129" s="517" t="s">
        <v>926</v>
      </c>
      <c r="C129" s="518"/>
      <c r="D129" s="518">
        <f>+D138+D141</f>
        <v>30000</v>
      </c>
      <c r="E129" s="518"/>
      <c r="F129" s="518">
        <f t="shared" si="18"/>
        <v>30000</v>
      </c>
    </row>
    <row r="130" spans="1:6" ht="25.5" x14ac:dyDescent="0.2">
      <c r="A130" s="524" t="s">
        <v>982</v>
      </c>
      <c r="B130" s="517" t="s">
        <v>916</v>
      </c>
      <c r="C130" s="518">
        <v>250000</v>
      </c>
      <c r="D130" s="518"/>
      <c r="E130" s="518"/>
      <c r="F130" s="518">
        <f t="shared" si="18"/>
        <v>250000</v>
      </c>
    </row>
    <row r="131" spans="1:6" x14ac:dyDescent="0.2">
      <c r="A131" s="524" t="s">
        <v>983</v>
      </c>
      <c r="B131" s="517" t="s">
        <v>916</v>
      </c>
      <c r="C131" s="518">
        <v>26800</v>
      </c>
      <c r="D131" s="518">
        <v>21033</v>
      </c>
      <c r="E131" s="518"/>
      <c r="F131" s="518">
        <f t="shared" si="18"/>
        <v>47833</v>
      </c>
    </row>
    <row r="132" spans="1:6" ht="25.5" x14ac:dyDescent="0.2">
      <c r="A132" s="524" t="s">
        <v>984</v>
      </c>
      <c r="B132" s="517" t="s">
        <v>916</v>
      </c>
      <c r="C132" s="518">
        <v>50000</v>
      </c>
      <c r="D132" s="518"/>
      <c r="E132" s="518"/>
      <c r="F132" s="518">
        <f t="shared" si="18"/>
        <v>50000</v>
      </c>
    </row>
    <row r="133" spans="1:6" ht="25.5" x14ac:dyDescent="0.2">
      <c r="A133" s="524" t="s">
        <v>985</v>
      </c>
      <c r="B133" s="517" t="s">
        <v>916</v>
      </c>
      <c r="C133" s="518">
        <v>350000</v>
      </c>
      <c r="D133" s="518">
        <v>18165</v>
      </c>
      <c r="E133" s="518"/>
      <c r="F133" s="518">
        <f t="shared" si="18"/>
        <v>368165</v>
      </c>
    </row>
    <row r="134" spans="1:6" ht="38.25" x14ac:dyDescent="0.2">
      <c r="A134" s="524" t="s">
        <v>986</v>
      </c>
      <c r="B134" s="517" t="s">
        <v>916</v>
      </c>
      <c r="C134" s="518">
        <v>95000</v>
      </c>
      <c r="D134" s="518">
        <v>-95000</v>
      </c>
      <c r="E134" s="518"/>
      <c r="F134" s="518">
        <f t="shared" si="18"/>
        <v>0</v>
      </c>
    </row>
    <row r="135" spans="1:6" ht="25.5" x14ac:dyDescent="0.2">
      <c r="A135" s="524" t="s">
        <v>987</v>
      </c>
      <c r="B135" s="517" t="s">
        <v>916</v>
      </c>
      <c r="C135" s="518">
        <v>30000</v>
      </c>
      <c r="D135" s="518"/>
      <c r="E135" s="518"/>
      <c r="F135" s="518">
        <f t="shared" si="18"/>
        <v>30000</v>
      </c>
    </row>
    <row r="136" spans="1:6" ht="12" customHeight="1" x14ac:dyDescent="0.2">
      <c r="A136" s="524" t="s">
        <v>988</v>
      </c>
      <c r="B136" s="565" t="s">
        <v>901</v>
      </c>
      <c r="C136" s="518"/>
      <c r="D136" s="518">
        <f>D137+D138</f>
        <v>36500</v>
      </c>
      <c r="E136" s="518"/>
      <c r="F136" s="518">
        <f t="shared" si="18"/>
        <v>36500</v>
      </c>
    </row>
    <row r="137" spans="1:6" ht="12" customHeight="1" x14ac:dyDescent="0.2">
      <c r="A137" s="532" t="s">
        <v>915</v>
      </c>
      <c r="B137" s="565" t="s">
        <v>916</v>
      </c>
      <c r="C137" s="518"/>
      <c r="D137" s="518">
        <v>21500</v>
      </c>
      <c r="E137" s="518"/>
      <c r="F137" s="518">
        <f t="shared" si="18"/>
        <v>21500</v>
      </c>
    </row>
    <row r="138" spans="1:6" ht="12" customHeight="1" x14ac:dyDescent="0.2">
      <c r="A138" s="533"/>
      <c r="B138" s="565" t="s">
        <v>926</v>
      </c>
      <c r="C138" s="518"/>
      <c r="D138" s="518">
        <v>15000</v>
      </c>
      <c r="E138" s="518"/>
      <c r="F138" s="518">
        <f t="shared" ref="F138:F147" si="20">SUM(C138:E138)</f>
        <v>15000</v>
      </c>
    </row>
    <row r="139" spans="1:6" ht="12" customHeight="1" x14ac:dyDescent="0.2">
      <c r="A139" s="524" t="s">
        <v>989</v>
      </c>
      <c r="B139" s="565" t="s">
        <v>901</v>
      </c>
      <c r="C139" s="518"/>
      <c r="D139" s="518">
        <f>D140+D141</f>
        <v>43000</v>
      </c>
      <c r="E139" s="518"/>
      <c r="F139" s="518">
        <f t="shared" si="20"/>
        <v>43000</v>
      </c>
    </row>
    <row r="140" spans="1:6" ht="12" customHeight="1" x14ac:dyDescent="0.2">
      <c r="A140" s="532" t="s">
        <v>915</v>
      </c>
      <c r="B140" s="565" t="s">
        <v>916</v>
      </c>
      <c r="C140" s="518"/>
      <c r="D140" s="518">
        <v>28000</v>
      </c>
      <c r="E140" s="518"/>
      <c r="F140" s="518">
        <f t="shared" si="20"/>
        <v>28000</v>
      </c>
    </row>
    <row r="141" spans="1:6" ht="12" customHeight="1" x14ac:dyDescent="0.2">
      <c r="A141" s="533"/>
      <c r="B141" s="565" t="s">
        <v>926</v>
      </c>
      <c r="C141" s="518"/>
      <c r="D141" s="518">
        <v>15000</v>
      </c>
      <c r="E141" s="518"/>
      <c r="F141" s="518">
        <f t="shared" si="20"/>
        <v>15000</v>
      </c>
    </row>
    <row r="142" spans="1:6" ht="12" customHeight="1" x14ac:dyDescent="0.2">
      <c r="A142" s="524" t="s">
        <v>990</v>
      </c>
      <c r="B142" s="565" t="s">
        <v>916</v>
      </c>
      <c r="C142" s="518"/>
      <c r="D142" s="518">
        <v>20000</v>
      </c>
      <c r="E142" s="518">
        <v>-20000</v>
      </c>
      <c r="F142" s="518">
        <f t="shared" si="20"/>
        <v>0</v>
      </c>
    </row>
    <row r="143" spans="1:6" ht="12" customHeight="1" x14ac:dyDescent="0.2">
      <c r="A143" s="524" t="s">
        <v>991</v>
      </c>
      <c r="B143" s="565" t="s">
        <v>916</v>
      </c>
      <c r="C143" s="518"/>
      <c r="D143" s="518">
        <v>210000</v>
      </c>
      <c r="E143" s="518"/>
      <c r="F143" s="518">
        <f t="shared" si="20"/>
        <v>210000</v>
      </c>
    </row>
    <row r="144" spans="1:6" x14ac:dyDescent="0.2">
      <c r="A144" s="524" t="s">
        <v>992</v>
      </c>
      <c r="B144" s="517" t="s">
        <v>916</v>
      </c>
      <c r="C144" s="518"/>
      <c r="D144" s="518">
        <v>12500</v>
      </c>
      <c r="E144" s="518">
        <v>6700</v>
      </c>
      <c r="F144" s="518">
        <f t="shared" si="20"/>
        <v>19200</v>
      </c>
    </row>
    <row r="145" spans="1:6" ht="25.5" x14ac:dyDescent="0.2">
      <c r="A145" s="524" t="s">
        <v>993</v>
      </c>
      <c r="B145" s="565" t="s">
        <v>916</v>
      </c>
      <c r="C145" s="518"/>
      <c r="D145" s="518"/>
      <c r="E145" s="518">
        <v>13000</v>
      </c>
      <c r="F145" s="518">
        <f t="shared" si="20"/>
        <v>13000</v>
      </c>
    </row>
    <row r="146" spans="1:6" x14ac:dyDescent="0.2">
      <c r="A146" s="521" t="s">
        <v>651</v>
      </c>
      <c r="B146" s="549" t="s">
        <v>901</v>
      </c>
      <c r="C146" s="523"/>
      <c r="D146" s="523"/>
      <c r="E146" s="523">
        <f>E147</f>
        <v>42700</v>
      </c>
      <c r="F146" s="523">
        <f t="shared" si="20"/>
        <v>42700</v>
      </c>
    </row>
    <row r="147" spans="1:6" x14ac:dyDescent="0.2">
      <c r="A147" s="532" t="s">
        <v>915</v>
      </c>
      <c r="B147" s="524" t="s">
        <v>916</v>
      </c>
      <c r="C147" s="518"/>
      <c r="D147" s="518"/>
      <c r="E147" s="518">
        <f>E149+E150</f>
        <v>42700</v>
      </c>
      <c r="F147" s="518">
        <f t="shared" si="20"/>
        <v>42700</v>
      </c>
    </row>
    <row r="148" spans="1:6" x14ac:dyDescent="0.2">
      <c r="A148" s="533"/>
      <c r="B148" s="520" t="s">
        <v>917</v>
      </c>
      <c r="C148" s="518"/>
      <c r="D148" s="518"/>
      <c r="E148" s="518"/>
      <c r="F148" s="518"/>
    </row>
    <row r="149" spans="1:6" x14ac:dyDescent="0.2">
      <c r="A149" s="524" t="s">
        <v>994</v>
      </c>
      <c r="B149" s="565" t="s">
        <v>916</v>
      </c>
      <c r="C149" s="518"/>
      <c r="D149" s="518"/>
      <c r="E149" s="518">
        <v>36000</v>
      </c>
      <c r="F149" s="518">
        <f t="shared" ref="F149:F158" si="21">SUM(C149:E149)</f>
        <v>36000</v>
      </c>
    </row>
    <row r="150" spans="1:6" x14ac:dyDescent="0.2">
      <c r="A150" s="524" t="s">
        <v>995</v>
      </c>
      <c r="B150" s="565" t="s">
        <v>916</v>
      </c>
      <c r="C150" s="518"/>
      <c r="D150" s="518"/>
      <c r="E150" s="518">
        <v>6700</v>
      </c>
      <c r="F150" s="518">
        <f t="shared" si="21"/>
        <v>6700</v>
      </c>
    </row>
    <row r="151" spans="1:6" x14ac:dyDescent="0.2">
      <c r="A151" s="521" t="s">
        <v>493</v>
      </c>
      <c r="B151" s="549" t="s">
        <v>901</v>
      </c>
      <c r="C151" s="523">
        <f>C152+C154</f>
        <v>16891000</v>
      </c>
      <c r="D151" s="523">
        <f>D152+D154</f>
        <v>665147</v>
      </c>
      <c r="E151" s="523">
        <f>E152+E153+E154</f>
        <v>-137523</v>
      </c>
      <c r="F151" s="523">
        <f t="shared" si="21"/>
        <v>17418624</v>
      </c>
    </row>
    <row r="152" spans="1:6" x14ac:dyDescent="0.2">
      <c r="A152" s="534"/>
      <c r="B152" s="535" t="s">
        <v>916</v>
      </c>
      <c r="C152" s="526">
        <f>C156+C176+C177</f>
        <v>14091000</v>
      </c>
      <c r="D152" s="526">
        <f>D156+D177</f>
        <v>82278</v>
      </c>
      <c r="E152" s="526">
        <f>E176+E177+E179+E178</f>
        <v>-199100</v>
      </c>
      <c r="F152" s="526">
        <f t="shared" si="21"/>
        <v>13974178</v>
      </c>
    </row>
    <row r="153" spans="1:6" x14ac:dyDescent="0.2">
      <c r="A153" s="534"/>
      <c r="B153" s="535" t="s">
        <v>917</v>
      </c>
      <c r="C153" s="526"/>
      <c r="D153" s="526"/>
      <c r="E153" s="526">
        <f>E157</f>
        <v>61577</v>
      </c>
      <c r="F153" s="526">
        <f t="shared" si="21"/>
        <v>61577</v>
      </c>
    </row>
    <row r="154" spans="1:6" x14ac:dyDescent="0.2">
      <c r="A154" s="536"/>
      <c r="B154" s="527" t="s">
        <v>926</v>
      </c>
      <c r="C154" s="528">
        <f t="shared" ref="C154" si="22">C158</f>
        <v>2800000</v>
      </c>
      <c r="D154" s="528">
        <f>D158</f>
        <v>582869</v>
      </c>
      <c r="E154" s="528"/>
      <c r="F154" s="528">
        <f t="shared" si="21"/>
        <v>3382869</v>
      </c>
    </row>
    <row r="155" spans="1:6" ht="25.5" x14ac:dyDescent="0.2">
      <c r="A155" s="578" t="s">
        <v>996</v>
      </c>
      <c r="B155" s="579" t="s">
        <v>901</v>
      </c>
      <c r="C155" s="580">
        <f>C156+C158</f>
        <v>15191000</v>
      </c>
      <c r="D155" s="580">
        <f>D156+D158</f>
        <v>620836</v>
      </c>
      <c r="E155" s="580">
        <f>E157</f>
        <v>61577</v>
      </c>
      <c r="F155" s="580">
        <f t="shared" si="21"/>
        <v>15873413</v>
      </c>
    </row>
    <row r="156" spans="1:6" x14ac:dyDescent="0.2">
      <c r="A156" s="532" t="s">
        <v>915</v>
      </c>
      <c r="B156" s="571" t="s">
        <v>916</v>
      </c>
      <c r="C156" s="526">
        <f>12361000+30000</f>
        <v>12391000</v>
      </c>
      <c r="D156" s="526">
        <v>37967</v>
      </c>
      <c r="E156" s="526"/>
      <c r="F156" s="526">
        <f t="shared" si="21"/>
        <v>12428967</v>
      </c>
    </row>
    <row r="157" spans="1:6" x14ac:dyDescent="0.2">
      <c r="A157" s="560"/>
      <c r="B157" s="548" t="s">
        <v>917</v>
      </c>
      <c r="C157" s="526"/>
      <c r="D157" s="526"/>
      <c r="E157" s="526">
        <v>61577</v>
      </c>
      <c r="F157" s="526">
        <f t="shared" si="21"/>
        <v>61577</v>
      </c>
    </row>
    <row r="158" spans="1:6" x14ac:dyDescent="0.2">
      <c r="A158" s="581"/>
      <c r="B158" s="520" t="s">
        <v>926</v>
      </c>
      <c r="C158" s="528">
        <v>2800000</v>
      </c>
      <c r="D158" s="528">
        <v>582869</v>
      </c>
      <c r="E158" s="528"/>
      <c r="F158" s="528">
        <f t="shared" si="21"/>
        <v>3382869</v>
      </c>
    </row>
    <row r="159" spans="1:6" s="619" customFormat="1" x14ac:dyDescent="0.2">
      <c r="A159" s="582" t="s">
        <v>997</v>
      </c>
      <c r="B159" s="548"/>
      <c r="C159" s="583"/>
      <c r="D159" s="583"/>
      <c r="E159" s="583"/>
      <c r="F159" s="583"/>
    </row>
    <row r="160" spans="1:6" s="619" customFormat="1" x14ac:dyDescent="0.2">
      <c r="A160" s="584" t="s">
        <v>998</v>
      </c>
      <c r="B160" s="548"/>
      <c r="C160" s="583"/>
      <c r="D160" s="583"/>
      <c r="E160" s="583"/>
      <c r="F160" s="583"/>
    </row>
    <row r="161" spans="1:6" s="619" customFormat="1" x14ac:dyDescent="0.2">
      <c r="A161" s="584" t="s">
        <v>999</v>
      </c>
      <c r="B161" s="548"/>
      <c r="C161" s="583"/>
      <c r="D161" s="583"/>
      <c r="E161" s="583"/>
      <c r="F161" s="583"/>
    </row>
    <row r="162" spans="1:6" s="619" customFormat="1" x14ac:dyDescent="0.2">
      <c r="A162" s="584" t="s">
        <v>1000</v>
      </c>
      <c r="B162" s="548"/>
      <c r="C162" s="583"/>
      <c r="D162" s="583"/>
      <c r="E162" s="583"/>
      <c r="F162" s="583"/>
    </row>
    <row r="163" spans="1:6" s="619" customFormat="1" x14ac:dyDescent="0.2">
      <c r="A163" s="584" t="s">
        <v>1001</v>
      </c>
      <c r="B163" s="548"/>
      <c r="C163" s="583"/>
      <c r="D163" s="583"/>
      <c r="E163" s="583"/>
      <c r="F163" s="583"/>
    </row>
    <row r="164" spans="1:6" s="619" customFormat="1" x14ac:dyDescent="0.2">
      <c r="A164" s="623" t="s">
        <v>1002</v>
      </c>
      <c r="B164" s="548"/>
      <c r="C164" s="583"/>
      <c r="D164" s="583"/>
      <c r="E164" s="583"/>
      <c r="F164" s="583"/>
    </row>
    <row r="165" spans="1:6" s="619" customFormat="1" x14ac:dyDescent="0.2">
      <c r="A165" s="623" t="s">
        <v>1003</v>
      </c>
      <c r="B165" s="548"/>
      <c r="C165" s="583"/>
      <c r="D165" s="583"/>
      <c r="E165" s="583"/>
      <c r="F165" s="583"/>
    </row>
    <row r="166" spans="1:6" s="619" customFormat="1" x14ac:dyDescent="0.2">
      <c r="A166" s="623" t="s">
        <v>1004</v>
      </c>
      <c r="B166" s="548"/>
      <c r="C166" s="583"/>
      <c r="D166" s="583"/>
      <c r="E166" s="583"/>
      <c r="F166" s="583"/>
    </row>
    <row r="167" spans="1:6" s="619" customFormat="1" x14ac:dyDescent="0.2">
      <c r="A167" s="584" t="s">
        <v>1005</v>
      </c>
      <c r="B167" s="548"/>
      <c r="C167" s="583"/>
      <c r="D167" s="583"/>
      <c r="E167" s="583"/>
      <c r="F167" s="583"/>
    </row>
    <row r="168" spans="1:6" s="619" customFormat="1" x14ac:dyDescent="0.2">
      <c r="A168" s="623" t="s">
        <v>1006</v>
      </c>
      <c r="B168" s="548"/>
      <c r="C168" s="583"/>
      <c r="D168" s="583"/>
      <c r="E168" s="583"/>
      <c r="F168" s="583"/>
    </row>
    <row r="169" spans="1:6" s="619" customFormat="1" x14ac:dyDescent="0.2">
      <c r="A169" s="584" t="s">
        <v>1007</v>
      </c>
      <c r="B169" s="584"/>
      <c r="C169" s="583"/>
      <c r="D169" s="583"/>
      <c r="E169" s="583"/>
      <c r="F169" s="583"/>
    </row>
    <row r="170" spans="1:6" s="619" customFormat="1" x14ac:dyDescent="0.2">
      <c r="A170" s="584" t="s">
        <v>1008</v>
      </c>
      <c r="B170" s="584"/>
      <c r="C170" s="583"/>
      <c r="D170" s="583"/>
      <c r="E170" s="583"/>
      <c r="F170" s="583"/>
    </row>
    <row r="171" spans="1:6" s="619" customFormat="1" x14ac:dyDescent="0.2">
      <c r="A171" s="624" t="s">
        <v>1009</v>
      </c>
      <c r="B171" s="625"/>
      <c r="C171" s="583"/>
      <c r="D171" s="583"/>
      <c r="E171" s="583"/>
      <c r="F171" s="583"/>
    </row>
    <row r="172" spans="1:6" s="619" customFormat="1" x14ac:dyDescent="0.2">
      <c r="A172" s="624" t="s">
        <v>1010</v>
      </c>
      <c r="B172" s="584"/>
      <c r="C172" s="583"/>
      <c r="D172" s="583"/>
      <c r="E172" s="583"/>
      <c r="F172" s="583"/>
    </row>
    <row r="173" spans="1:6" s="619" customFormat="1" x14ac:dyDescent="0.2">
      <c r="A173" s="626" t="s">
        <v>1011</v>
      </c>
      <c r="B173" s="625"/>
      <c r="C173" s="585"/>
      <c r="D173" s="585"/>
      <c r="E173" s="585"/>
      <c r="F173" s="585"/>
    </row>
    <row r="174" spans="1:6" s="619" customFormat="1" x14ac:dyDescent="0.2">
      <c r="A174" s="626" t="s">
        <v>1012</v>
      </c>
      <c r="B174" s="625"/>
      <c r="C174" s="585"/>
      <c r="D174" s="585"/>
      <c r="E174" s="585"/>
      <c r="F174" s="585"/>
    </row>
    <row r="175" spans="1:6" s="619" customFormat="1" x14ac:dyDescent="0.2">
      <c r="A175" s="626" t="s">
        <v>1013</v>
      </c>
      <c r="B175" s="625"/>
      <c r="C175" s="585"/>
      <c r="D175" s="585"/>
      <c r="E175" s="585"/>
      <c r="F175" s="585"/>
    </row>
    <row r="176" spans="1:6" ht="25.5" x14ac:dyDescent="0.2">
      <c r="A176" s="524" t="s">
        <v>1014</v>
      </c>
      <c r="B176" s="517" t="s">
        <v>916</v>
      </c>
      <c r="C176" s="518">
        <v>1500000</v>
      </c>
      <c r="D176" s="518"/>
      <c r="E176" s="518">
        <v>-300000</v>
      </c>
      <c r="F176" s="518">
        <f t="shared" ref="F176:F187" si="23">SUM(C176:E176)</f>
        <v>1200000</v>
      </c>
    </row>
    <row r="177" spans="1:6" x14ac:dyDescent="0.2">
      <c r="A177" s="524" t="s">
        <v>1015</v>
      </c>
      <c r="B177" s="565" t="s">
        <v>916</v>
      </c>
      <c r="C177" s="518">
        <v>200000</v>
      </c>
      <c r="D177" s="518">
        <v>44311</v>
      </c>
      <c r="E177" s="518">
        <v>-82355</v>
      </c>
      <c r="F177" s="518">
        <f t="shared" si="23"/>
        <v>161956</v>
      </c>
    </row>
    <row r="178" spans="1:6" x14ac:dyDescent="0.2">
      <c r="A178" s="524" t="s">
        <v>1016</v>
      </c>
      <c r="B178" s="565" t="s">
        <v>916</v>
      </c>
      <c r="C178" s="518"/>
      <c r="D178" s="518"/>
      <c r="E178" s="518">
        <v>82355</v>
      </c>
      <c r="F178" s="518">
        <f t="shared" si="23"/>
        <v>82355</v>
      </c>
    </row>
    <row r="179" spans="1:6" ht="38.25" x14ac:dyDescent="0.2">
      <c r="A179" s="524" t="s">
        <v>1017</v>
      </c>
      <c r="B179" s="565" t="s">
        <v>916</v>
      </c>
      <c r="C179" s="518"/>
      <c r="D179" s="518"/>
      <c r="E179" s="518">
        <v>100900</v>
      </c>
      <c r="F179" s="518">
        <f t="shared" si="23"/>
        <v>100900</v>
      </c>
    </row>
    <row r="180" spans="1:6" x14ac:dyDescent="0.2">
      <c r="A180" s="521" t="s">
        <v>494</v>
      </c>
      <c r="B180" s="549" t="s">
        <v>901</v>
      </c>
      <c r="C180" s="523">
        <f t="shared" ref="C180" si="24">C181</f>
        <v>132540</v>
      </c>
      <c r="D180" s="523"/>
      <c r="E180" s="523"/>
      <c r="F180" s="523">
        <f t="shared" si="23"/>
        <v>132540</v>
      </c>
    </row>
    <row r="181" spans="1:6" ht="25.5" x14ac:dyDescent="0.2">
      <c r="A181" s="524" t="s">
        <v>1018</v>
      </c>
      <c r="B181" s="517" t="s">
        <v>916</v>
      </c>
      <c r="C181" s="518">
        <v>132540</v>
      </c>
      <c r="D181" s="518"/>
      <c r="E181" s="518"/>
      <c r="F181" s="518">
        <f t="shared" si="23"/>
        <v>132540</v>
      </c>
    </row>
    <row r="182" spans="1:6" x14ac:dyDescent="0.2">
      <c r="A182" s="521" t="s">
        <v>495</v>
      </c>
      <c r="B182" s="549" t="s">
        <v>901</v>
      </c>
      <c r="C182" s="523">
        <f>C184+C183</f>
        <v>161600</v>
      </c>
      <c r="D182" s="523">
        <f>D185+D189</f>
        <v>624000</v>
      </c>
      <c r="E182" s="523">
        <f>E185+E186+E187</f>
        <v>467687</v>
      </c>
      <c r="F182" s="523">
        <f t="shared" si="23"/>
        <v>1253287</v>
      </c>
    </row>
    <row r="183" spans="1:6" ht="38.25" x14ac:dyDescent="0.2">
      <c r="A183" s="524" t="s">
        <v>1019</v>
      </c>
      <c r="B183" s="517" t="s">
        <v>916</v>
      </c>
      <c r="C183" s="518">
        <v>160000</v>
      </c>
      <c r="D183" s="518"/>
      <c r="E183" s="518"/>
      <c r="F183" s="518">
        <f t="shared" si="23"/>
        <v>160000</v>
      </c>
    </row>
    <row r="184" spans="1:6" x14ac:dyDescent="0.2">
      <c r="A184" s="524" t="s">
        <v>1020</v>
      </c>
      <c r="B184" s="517" t="s">
        <v>916</v>
      </c>
      <c r="C184" s="518">
        <v>1600</v>
      </c>
      <c r="D184" s="518"/>
      <c r="E184" s="518"/>
      <c r="F184" s="518">
        <f t="shared" si="23"/>
        <v>1600</v>
      </c>
    </row>
    <row r="185" spans="1:6" ht="51" x14ac:dyDescent="0.2">
      <c r="A185" s="524" t="s">
        <v>1021</v>
      </c>
      <c r="B185" s="517" t="s">
        <v>916</v>
      </c>
      <c r="C185" s="518"/>
      <c r="D185" s="518">
        <v>528000</v>
      </c>
      <c r="E185" s="540">
        <v>210500</v>
      </c>
      <c r="F185" s="518">
        <f t="shared" si="23"/>
        <v>738500</v>
      </c>
    </row>
    <row r="186" spans="1:6" ht="25.5" x14ac:dyDescent="0.2">
      <c r="A186" s="524" t="s">
        <v>1022</v>
      </c>
      <c r="B186" s="517" t="s">
        <v>916</v>
      </c>
      <c r="C186" s="518"/>
      <c r="D186" s="518"/>
      <c r="E186" s="540">
        <v>248324</v>
      </c>
      <c r="F186" s="518">
        <f t="shared" si="23"/>
        <v>248324</v>
      </c>
    </row>
    <row r="187" spans="1:6" ht="25.5" x14ac:dyDescent="0.2">
      <c r="A187" s="524" t="s">
        <v>1023</v>
      </c>
      <c r="B187" s="517"/>
      <c r="C187" s="518"/>
      <c r="D187" s="518"/>
      <c r="E187" s="518">
        <v>8863</v>
      </c>
      <c r="F187" s="518">
        <f t="shared" si="23"/>
        <v>8863</v>
      </c>
    </row>
    <row r="188" spans="1:6" ht="22.5" x14ac:dyDescent="0.2">
      <c r="A188" s="586" t="s">
        <v>1024</v>
      </c>
      <c r="B188" s="587"/>
      <c r="C188" s="518"/>
      <c r="D188" s="518"/>
      <c r="E188" s="540"/>
      <c r="F188" s="588"/>
    </row>
    <row r="189" spans="1:6" x14ac:dyDescent="0.2">
      <c r="A189" s="524" t="s">
        <v>1025</v>
      </c>
      <c r="B189" s="517" t="s">
        <v>916</v>
      </c>
      <c r="C189" s="518"/>
      <c r="D189" s="518">
        <v>96000</v>
      </c>
      <c r="E189" s="540"/>
      <c r="F189" s="518">
        <f>SUM(C189:E189)</f>
        <v>96000</v>
      </c>
    </row>
    <row r="190" spans="1:6" x14ac:dyDescent="0.2">
      <c r="A190" s="541"/>
      <c r="B190" s="542"/>
      <c r="C190" s="540"/>
      <c r="D190" s="540"/>
      <c r="E190" s="540"/>
      <c r="F190" s="518"/>
    </row>
    <row r="191" spans="1:6" x14ac:dyDescent="0.2">
      <c r="A191" s="663" t="s">
        <v>1026</v>
      </c>
      <c r="B191" s="664"/>
      <c r="C191" s="665"/>
      <c r="D191" s="589"/>
      <c r="E191" s="589"/>
      <c r="F191" s="590"/>
    </row>
    <row r="192" spans="1:6" x14ac:dyDescent="0.2">
      <c r="A192" s="591" t="s">
        <v>1027</v>
      </c>
      <c r="B192" s="592" t="s">
        <v>901</v>
      </c>
      <c r="C192" s="513">
        <f>C193+C201+C203</f>
        <v>4305952</v>
      </c>
      <c r="D192" s="513">
        <f>D193+D199+D201+D203</f>
        <v>1315000</v>
      </c>
      <c r="E192" s="513">
        <f>E193+E199+E201+E203</f>
        <v>769872</v>
      </c>
      <c r="F192" s="513">
        <f t="shared" ref="F192:F206" si="25">SUM(C192:E192)</f>
        <v>6390824</v>
      </c>
    </row>
    <row r="193" spans="1:6" x14ac:dyDescent="0.2">
      <c r="A193" s="521" t="s">
        <v>488</v>
      </c>
      <c r="B193" s="522" t="s">
        <v>916</v>
      </c>
      <c r="C193" s="523">
        <f>C194</f>
        <v>2272000</v>
      </c>
      <c r="D193" s="523">
        <f>D194</f>
        <v>1200000</v>
      </c>
      <c r="E193" s="523">
        <f>E194+E198</f>
        <v>979872</v>
      </c>
      <c r="F193" s="523">
        <f t="shared" si="25"/>
        <v>4451872</v>
      </c>
    </row>
    <row r="194" spans="1:6" ht="25.5" x14ac:dyDescent="0.2">
      <c r="A194" s="524" t="s">
        <v>1028</v>
      </c>
      <c r="B194" s="517" t="s">
        <v>916</v>
      </c>
      <c r="C194" s="518">
        <v>2272000</v>
      </c>
      <c r="D194" s="518">
        <f>D195+D196+D197</f>
        <v>1200000</v>
      </c>
      <c r="E194" s="518">
        <f>E195</f>
        <v>879872</v>
      </c>
      <c r="F194" s="518">
        <f t="shared" si="25"/>
        <v>4351872</v>
      </c>
    </row>
    <row r="195" spans="1:6" x14ac:dyDescent="0.2">
      <c r="A195" s="593" t="s">
        <v>1029</v>
      </c>
      <c r="B195" s="554" t="s">
        <v>916</v>
      </c>
      <c r="C195" s="555">
        <v>2272000</v>
      </c>
      <c r="D195" s="555">
        <v>1162513</v>
      </c>
      <c r="E195" s="555">
        <v>879872</v>
      </c>
      <c r="F195" s="555">
        <f t="shared" si="25"/>
        <v>4314385</v>
      </c>
    </row>
    <row r="196" spans="1:6" x14ac:dyDescent="0.2">
      <c r="A196" s="593" t="s">
        <v>1030</v>
      </c>
      <c r="B196" s="554" t="s">
        <v>916</v>
      </c>
      <c r="C196" s="518"/>
      <c r="D196" s="555">
        <v>21017</v>
      </c>
      <c r="E196" s="555"/>
      <c r="F196" s="555">
        <f t="shared" si="25"/>
        <v>21017</v>
      </c>
    </row>
    <row r="197" spans="1:6" x14ac:dyDescent="0.2">
      <c r="A197" s="593" t="s">
        <v>1031</v>
      </c>
      <c r="B197" s="554" t="s">
        <v>916</v>
      </c>
      <c r="C197" s="518"/>
      <c r="D197" s="555">
        <v>16470</v>
      </c>
      <c r="E197" s="555"/>
      <c r="F197" s="555">
        <f t="shared" si="25"/>
        <v>16470</v>
      </c>
    </row>
    <row r="198" spans="1:6" x14ac:dyDescent="0.2">
      <c r="A198" s="524" t="s">
        <v>1032</v>
      </c>
      <c r="B198" s="517" t="s">
        <v>916</v>
      </c>
      <c r="C198" s="518"/>
      <c r="D198" s="518"/>
      <c r="E198" s="518">
        <v>100000</v>
      </c>
      <c r="F198" s="518">
        <f t="shared" si="25"/>
        <v>100000</v>
      </c>
    </row>
    <row r="199" spans="1:6" x14ac:dyDescent="0.2">
      <c r="A199" s="521" t="s">
        <v>902</v>
      </c>
      <c r="B199" s="522" t="s">
        <v>916</v>
      </c>
      <c r="C199" s="523"/>
      <c r="D199" s="523">
        <f>D200</f>
        <v>20000</v>
      </c>
      <c r="E199" s="523"/>
      <c r="F199" s="523">
        <f t="shared" si="25"/>
        <v>20000</v>
      </c>
    </row>
    <row r="200" spans="1:6" x14ac:dyDescent="0.2">
      <c r="A200" s="524" t="s">
        <v>1033</v>
      </c>
      <c r="B200" s="517" t="s">
        <v>916</v>
      </c>
      <c r="C200" s="518"/>
      <c r="D200" s="518">
        <v>20000</v>
      </c>
      <c r="E200" s="518"/>
      <c r="F200" s="518">
        <f t="shared" si="25"/>
        <v>20000</v>
      </c>
    </row>
    <row r="201" spans="1:6" x14ac:dyDescent="0.2">
      <c r="A201" s="521" t="s">
        <v>651</v>
      </c>
      <c r="B201" s="522" t="s">
        <v>916</v>
      </c>
      <c r="C201" s="523">
        <f t="shared" ref="C201" si="26">C202</f>
        <v>1783952</v>
      </c>
      <c r="D201" s="523"/>
      <c r="E201" s="523"/>
      <c r="F201" s="523">
        <f t="shared" si="25"/>
        <v>1783952</v>
      </c>
    </row>
    <row r="202" spans="1:6" ht="25.5" x14ac:dyDescent="0.2">
      <c r="A202" s="524" t="s">
        <v>1034</v>
      </c>
      <c r="B202" s="517" t="s">
        <v>916</v>
      </c>
      <c r="C202" s="518">
        <v>1783952</v>
      </c>
      <c r="D202" s="518"/>
      <c r="E202" s="518"/>
      <c r="F202" s="518">
        <f t="shared" si="25"/>
        <v>1783952</v>
      </c>
    </row>
    <row r="203" spans="1:6" x14ac:dyDescent="0.2">
      <c r="A203" s="521" t="s">
        <v>496</v>
      </c>
      <c r="B203" s="522" t="s">
        <v>916</v>
      </c>
      <c r="C203" s="523">
        <f>C204</f>
        <v>250000</v>
      </c>
      <c r="D203" s="523">
        <f>D206</f>
        <v>95000</v>
      </c>
      <c r="E203" s="523">
        <f>E204+E205</f>
        <v>-210000</v>
      </c>
      <c r="F203" s="523">
        <f t="shared" si="25"/>
        <v>135000</v>
      </c>
    </row>
    <row r="204" spans="1:6" x14ac:dyDescent="0.2">
      <c r="A204" s="524" t="s">
        <v>1035</v>
      </c>
      <c r="B204" s="517" t="s">
        <v>916</v>
      </c>
      <c r="C204" s="518">
        <v>250000</v>
      </c>
      <c r="D204" s="518"/>
      <c r="E204" s="518">
        <v>-230000</v>
      </c>
      <c r="F204" s="518">
        <f t="shared" si="25"/>
        <v>20000</v>
      </c>
    </row>
    <row r="205" spans="1:6" x14ac:dyDescent="0.2">
      <c r="A205" s="524" t="s">
        <v>1036</v>
      </c>
      <c r="B205" s="517" t="s">
        <v>916</v>
      </c>
      <c r="C205" s="518"/>
      <c r="D205" s="518"/>
      <c r="E205" s="540">
        <v>20000</v>
      </c>
      <c r="F205" s="518">
        <f t="shared" si="25"/>
        <v>20000</v>
      </c>
    </row>
    <row r="206" spans="1:6" ht="38.25" x14ac:dyDescent="0.2">
      <c r="A206" s="524" t="s">
        <v>986</v>
      </c>
      <c r="B206" s="517" t="s">
        <v>916</v>
      </c>
      <c r="C206" s="518"/>
      <c r="D206" s="518">
        <v>95000</v>
      </c>
      <c r="E206" s="540"/>
      <c r="F206" s="518">
        <f t="shared" si="25"/>
        <v>95000</v>
      </c>
    </row>
    <row r="207" spans="1:6" x14ac:dyDescent="0.2">
      <c r="A207" s="541"/>
      <c r="B207" s="542"/>
      <c r="C207" s="594"/>
      <c r="D207" s="594"/>
      <c r="E207" s="594"/>
      <c r="F207" s="594"/>
    </row>
    <row r="208" spans="1:6" x14ac:dyDescent="0.2">
      <c r="A208" s="660" t="s">
        <v>1037</v>
      </c>
      <c r="B208" s="661"/>
      <c r="C208" s="662"/>
      <c r="D208" s="595"/>
      <c r="E208" s="595"/>
      <c r="F208" s="596"/>
    </row>
    <row r="209" spans="1:6" x14ac:dyDescent="0.2">
      <c r="A209" s="514" t="s">
        <v>1038</v>
      </c>
      <c r="B209" s="592" t="s">
        <v>901</v>
      </c>
      <c r="C209" s="513">
        <f>C210+C211+C213+C214</f>
        <v>44546160</v>
      </c>
      <c r="D209" s="513">
        <f>D210+D211+D212+D213+D214</f>
        <v>6552169</v>
      </c>
      <c r="E209" s="513">
        <f>E210+E211+E212+E213+E214</f>
        <v>1299122</v>
      </c>
      <c r="F209" s="513">
        <f>F210+F211+F212+F213+F214</f>
        <v>52397451</v>
      </c>
    </row>
    <row r="210" spans="1:6" x14ac:dyDescent="0.2">
      <c r="A210" s="516" t="s">
        <v>915</v>
      </c>
      <c r="B210" s="517" t="s">
        <v>916</v>
      </c>
      <c r="C210" s="528">
        <f>C7+C43+C192</f>
        <v>39751698</v>
      </c>
      <c r="D210" s="528">
        <f>D7+D43+D192</f>
        <v>5586959</v>
      </c>
      <c r="E210" s="528">
        <f>E7+E43+E192</f>
        <v>1220346</v>
      </c>
      <c r="F210" s="528">
        <f>F7+F43+F192</f>
        <v>46559003</v>
      </c>
    </row>
    <row r="211" spans="1:6" x14ac:dyDescent="0.2">
      <c r="A211" s="560"/>
      <c r="B211" s="517" t="s">
        <v>926</v>
      </c>
      <c r="C211" s="518">
        <f>C44</f>
        <v>4201965</v>
      </c>
      <c r="D211" s="518">
        <f>D44</f>
        <v>374451</v>
      </c>
      <c r="E211" s="518">
        <f>E44</f>
        <v>32199</v>
      </c>
      <c r="F211" s="518">
        <f>F44</f>
        <v>4608615</v>
      </c>
    </row>
    <row r="212" spans="1:6" x14ac:dyDescent="0.2">
      <c r="A212" s="560"/>
      <c r="B212" s="517" t="s">
        <v>971</v>
      </c>
      <c r="C212" s="518"/>
      <c r="D212" s="518">
        <f>D45</f>
        <v>0</v>
      </c>
      <c r="E212" s="518"/>
      <c r="F212" s="518">
        <f>F45</f>
        <v>0</v>
      </c>
    </row>
    <row r="213" spans="1:6" x14ac:dyDescent="0.2">
      <c r="A213" s="560"/>
      <c r="B213" s="517" t="s">
        <v>917</v>
      </c>
      <c r="C213" s="518">
        <f>C8</f>
        <v>125307</v>
      </c>
      <c r="D213" s="518">
        <f>D8+D46</f>
        <v>65000</v>
      </c>
      <c r="E213" s="518">
        <f>E46</f>
        <v>46577</v>
      </c>
      <c r="F213" s="518">
        <f>F8+F46</f>
        <v>236884</v>
      </c>
    </row>
    <row r="214" spans="1:6" x14ac:dyDescent="0.2">
      <c r="A214" s="564"/>
      <c r="B214" s="517" t="s">
        <v>918</v>
      </c>
      <c r="C214" s="518">
        <f>C9</f>
        <v>467190</v>
      </c>
      <c r="D214" s="518">
        <f>D9</f>
        <v>525759</v>
      </c>
      <c r="E214" s="518"/>
      <c r="F214" s="518">
        <f>F9</f>
        <v>992949</v>
      </c>
    </row>
    <row r="215" spans="1:6" x14ac:dyDescent="0.2">
      <c r="A215" s="564"/>
      <c r="B215" s="542"/>
      <c r="C215" s="540"/>
      <c r="D215" s="540"/>
      <c r="E215" s="540"/>
      <c r="F215" s="518"/>
    </row>
    <row r="216" spans="1:6" x14ac:dyDescent="0.2">
      <c r="A216" s="660" t="s">
        <v>1039</v>
      </c>
      <c r="B216" s="661"/>
      <c r="C216" s="662"/>
      <c r="D216" s="595"/>
      <c r="E216" s="595"/>
      <c r="F216" s="596"/>
    </row>
    <row r="217" spans="1:6" x14ac:dyDescent="0.2">
      <c r="A217" s="597" t="s">
        <v>807</v>
      </c>
      <c r="B217" s="592" t="s">
        <v>916</v>
      </c>
      <c r="C217" s="513"/>
      <c r="D217" s="513"/>
      <c r="E217" s="513">
        <f>E218</f>
        <v>700000</v>
      </c>
      <c r="F217" s="513">
        <f>C217+D217+E217</f>
        <v>700000</v>
      </c>
    </row>
    <row r="218" spans="1:6" x14ac:dyDescent="0.2">
      <c r="A218" s="521" t="s">
        <v>167</v>
      </c>
      <c r="B218" s="522" t="s">
        <v>916</v>
      </c>
      <c r="C218" s="523"/>
      <c r="D218" s="523"/>
      <c r="E218" s="523">
        <f>E219</f>
        <v>700000</v>
      </c>
      <c r="F218" s="523">
        <f t="shared" ref="F218:F219" si="27">C218+D218+E218</f>
        <v>700000</v>
      </c>
    </row>
    <row r="219" spans="1:6" x14ac:dyDescent="0.2">
      <c r="A219" s="598" t="s">
        <v>1040</v>
      </c>
      <c r="B219" s="517" t="s">
        <v>916</v>
      </c>
      <c r="C219" s="518"/>
      <c r="D219" s="518"/>
      <c r="E219" s="540">
        <v>700000</v>
      </c>
      <c r="F219" s="518">
        <f t="shared" si="27"/>
        <v>700000</v>
      </c>
    </row>
    <row r="220" spans="1:6" x14ac:dyDescent="0.2">
      <c r="A220" s="564"/>
      <c r="B220" s="542"/>
      <c r="C220" s="594"/>
      <c r="D220" s="594"/>
      <c r="E220" s="594"/>
      <c r="F220" s="594"/>
    </row>
    <row r="221" spans="1:6" x14ac:dyDescent="0.2">
      <c r="A221" s="654" t="s">
        <v>1041</v>
      </c>
      <c r="B221" s="655"/>
      <c r="C221" s="656"/>
      <c r="D221" s="599"/>
      <c r="E221" s="599"/>
      <c r="F221" s="600"/>
    </row>
    <row r="222" spans="1:6" x14ac:dyDescent="0.2">
      <c r="A222" s="601" t="s">
        <v>489</v>
      </c>
      <c r="B222" s="601" t="s">
        <v>901</v>
      </c>
      <c r="C222" s="518">
        <f>C223+C224</f>
        <v>14980470</v>
      </c>
      <c r="D222" s="518"/>
      <c r="E222" s="518"/>
      <c r="F222" s="518">
        <f>C222+D222+E222</f>
        <v>14980470</v>
      </c>
    </row>
    <row r="223" spans="1:6" x14ac:dyDescent="0.2">
      <c r="A223" s="602" t="s">
        <v>1042</v>
      </c>
      <c r="B223" s="555" t="s">
        <v>916</v>
      </c>
      <c r="C223" s="555">
        <v>13881262</v>
      </c>
      <c r="D223" s="555"/>
      <c r="E223" s="555"/>
      <c r="F223" s="555">
        <f t="shared" ref="F223:F234" si="28">C223+D223+E223</f>
        <v>13881262</v>
      </c>
    </row>
    <row r="224" spans="1:6" x14ac:dyDescent="0.2">
      <c r="A224" s="602" t="s">
        <v>1043</v>
      </c>
      <c r="B224" s="555" t="s">
        <v>916</v>
      </c>
      <c r="C224" s="555">
        <v>1099208</v>
      </c>
      <c r="D224" s="555"/>
      <c r="E224" s="555"/>
      <c r="F224" s="555">
        <f t="shared" si="28"/>
        <v>1099208</v>
      </c>
    </row>
    <row r="225" spans="1:6" x14ac:dyDescent="0.2">
      <c r="A225" s="603" t="s">
        <v>904</v>
      </c>
      <c r="B225" s="601" t="s">
        <v>901</v>
      </c>
      <c r="C225" s="518">
        <f>C226+C227</f>
        <v>9996000</v>
      </c>
      <c r="D225" s="518"/>
      <c r="E225" s="518"/>
      <c r="F225" s="518">
        <f t="shared" si="28"/>
        <v>9996000</v>
      </c>
    </row>
    <row r="226" spans="1:6" x14ac:dyDescent="0.2">
      <c r="A226" s="604" t="s">
        <v>241</v>
      </c>
      <c r="B226" s="555" t="s">
        <v>916</v>
      </c>
      <c r="C226" s="555">
        <v>2390000</v>
      </c>
      <c r="D226" s="555"/>
      <c r="E226" s="555"/>
      <c r="F226" s="555">
        <f t="shared" si="28"/>
        <v>2390000</v>
      </c>
    </row>
    <row r="227" spans="1:6" x14ac:dyDescent="0.2">
      <c r="A227" s="604" t="s">
        <v>242</v>
      </c>
      <c r="B227" s="555" t="s">
        <v>916</v>
      </c>
      <c r="C227" s="555">
        <v>7606000</v>
      </c>
      <c r="D227" s="555"/>
      <c r="E227" s="555"/>
      <c r="F227" s="555">
        <f t="shared" si="28"/>
        <v>7606000</v>
      </c>
    </row>
    <row r="228" spans="1:6" ht="25.5" x14ac:dyDescent="0.2">
      <c r="A228" s="521" t="s">
        <v>1044</v>
      </c>
      <c r="B228" s="605" t="s">
        <v>901</v>
      </c>
      <c r="C228" s="523">
        <f>C222+C225</f>
        <v>24976470</v>
      </c>
      <c r="D228" s="523"/>
      <c r="E228" s="523"/>
      <c r="F228" s="523">
        <f t="shared" si="28"/>
        <v>24976470</v>
      </c>
    </row>
    <row r="229" spans="1:6" x14ac:dyDescent="0.2">
      <c r="A229" s="606"/>
      <c r="B229" s="607"/>
      <c r="C229" s="608"/>
      <c r="D229" s="608"/>
      <c r="E229" s="608"/>
      <c r="F229" s="609"/>
    </row>
    <row r="230" spans="1:6" x14ac:dyDescent="0.2">
      <c r="A230" s="657" t="s">
        <v>1045</v>
      </c>
      <c r="B230" s="658"/>
      <c r="C230" s="659"/>
      <c r="D230" s="610"/>
      <c r="E230" s="610"/>
      <c r="F230" s="627"/>
    </row>
    <row r="231" spans="1:6" x14ac:dyDescent="0.2">
      <c r="A231" s="524" t="s">
        <v>1046</v>
      </c>
      <c r="B231" s="517" t="s">
        <v>916</v>
      </c>
      <c r="C231" s="518">
        <v>4000000</v>
      </c>
      <c r="D231" s="518">
        <v>5198403</v>
      </c>
      <c r="E231" s="518">
        <v>-1953</v>
      </c>
      <c r="F231" s="518">
        <f t="shared" si="28"/>
        <v>9196450</v>
      </c>
    </row>
    <row r="232" spans="1:6" ht="25.5" x14ac:dyDescent="0.2">
      <c r="A232" s="524" t="s">
        <v>1047</v>
      </c>
      <c r="B232" s="517" t="s">
        <v>916</v>
      </c>
      <c r="C232" s="518">
        <v>500000</v>
      </c>
      <c r="D232" s="518">
        <v>1883755</v>
      </c>
      <c r="E232" s="518"/>
      <c r="F232" s="518">
        <f t="shared" si="28"/>
        <v>2383755</v>
      </c>
    </row>
    <row r="233" spans="1:6" x14ac:dyDescent="0.2">
      <c r="A233" s="541"/>
      <c r="B233" s="542"/>
      <c r="C233" s="540"/>
      <c r="D233" s="540"/>
      <c r="E233" s="540"/>
      <c r="F233" s="518"/>
    </row>
    <row r="234" spans="1:6" ht="25.5" x14ac:dyDescent="0.2">
      <c r="A234" s="521" t="s">
        <v>1048</v>
      </c>
      <c r="B234" s="605" t="s">
        <v>901</v>
      </c>
      <c r="C234" s="611">
        <f>C6+C42+C192+C217+C228+C231+C232</f>
        <v>74022630</v>
      </c>
      <c r="D234" s="611">
        <f>D6+D42+D192+D217+D228+D231+D232</f>
        <v>13634327</v>
      </c>
      <c r="E234" s="611">
        <f>E6+E42+E192+E217+E228+E231+E232</f>
        <v>1997169</v>
      </c>
      <c r="F234" s="611">
        <f t="shared" si="28"/>
        <v>89654126</v>
      </c>
    </row>
    <row r="235" spans="1:6" ht="13.5" customHeight="1" x14ac:dyDescent="0.2">
      <c r="C235" s="612"/>
    </row>
    <row r="236" spans="1:6" x14ac:dyDescent="0.2">
      <c r="A236" s="613" t="s">
        <v>1049</v>
      </c>
      <c r="C236" s="614">
        <f>C6+C42</f>
        <v>40240208</v>
      </c>
      <c r="D236" s="614">
        <f>D6+D42</f>
        <v>5237169</v>
      </c>
      <c r="E236" s="614">
        <f>E6+E42</f>
        <v>529250</v>
      </c>
      <c r="F236" s="614">
        <f>F6+F42</f>
        <v>46006627</v>
      </c>
    </row>
    <row r="237" spans="1:6" x14ac:dyDescent="0.2">
      <c r="A237" s="620" t="s">
        <v>1050</v>
      </c>
    </row>
    <row r="238" spans="1:6" x14ac:dyDescent="0.2">
      <c r="A238" s="615" t="s">
        <v>489</v>
      </c>
      <c r="C238" s="314">
        <f>C47</f>
        <v>9033000</v>
      </c>
      <c r="D238" s="314">
        <f>D47</f>
        <v>530099</v>
      </c>
      <c r="E238" s="314">
        <f>E47</f>
        <v>20480</v>
      </c>
      <c r="F238" s="314">
        <f>F47</f>
        <v>9583579</v>
      </c>
    </row>
    <row r="239" spans="1:6" x14ac:dyDescent="0.2">
      <c r="A239" s="616" t="s">
        <v>488</v>
      </c>
      <c r="C239" s="314">
        <f>C57</f>
        <v>1943600</v>
      </c>
      <c r="D239" s="314">
        <f>D57</f>
        <v>334641</v>
      </c>
      <c r="E239" s="314">
        <f>E57</f>
        <v>170439</v>
      </c>
      <c r="F239" s="314">
        <f>F57</f>
        <v>2448680</v>
      </c>
    </row>
    <row r="240" spans="1:6" x14ac:dyDescent="0.2">
      <c r="A240" s="616" t="s">
        <v>902</v>
      </c>
      <c r="C240" s="314">
        <f>C10+C90</f>
        <v>6516000</v>
      </c>
      <c r="D240" s="314">
        <f>D10+D90</f>
        <v>80000</v>
      </c>
      <c r="E240" s="314">
        <f>E10+E90</f>
        <v>0</v>
      </c>
      <c r="F240" s="314">
        <f>F10+F90</f>
        <v>6596000</v>
      </c>
    </row>
    <row r="241" spans="1:6" x14ac:dyDescent="0.2">
      <c r="A241" s="616" t="s">
        <v>903</v>
      </c>
      <c r="C241" s="314">
        <f>C16+C103</f>
        <v>1517496</v>
      </c>
      <c r="D241" s="314">
        <f>D16+D103</f>
        <v>26322</v>
      </c>
      <c r="E241" s="314">
        <f>E16+E103</f>
        <v>13500</v>
      </c>
      <c r="F241" s="314">
        <f>F16+F103</f>
        <v>1557318</v>
      </c>
    </row>
    <row r="242" spans="1:6" x14ac:dyDescent="0.2">
      <c r="A242" s="616" t="s">
        <v>904</v>
      </c>
      <c r="C242" s="314">
        <f>C116</f>
        <v>600000</v>
      </c>
      <c r="D242" s="314">
        <f>D116</f>
        <v>0</v>
      </c>
      <c r="E242" s="314">
        <f>E116</f>
        <v>0</v>
      </c>
      <c r="F242" s="314">
        <f>F116</f>
        <v>600000</v>
      </c>
    </row>
    <row r="243" spans="1:6" x14ac:dyDescent="0.2">
      <c r="A243" s="617" t="s">
        <v>491</v>
      </c>
      <c r="C243" s="314">
        <f>C119</f>
        <v>1948752</v>
      </c>
      <c r="D243" s="314">
        <f>D119</f>
        <v>203550</v>
      </c>
      <c r="E243" s="314">
        <f>E119</f>
        <v>-47733</v>
      </c>
      <c r="F243" s="314">
        <f>F119</f>
        <v>2104569</v>
      </c>
    </row>
    <row r="244" spans="1:6" x14ac:dyDescent="0.2">
      <c r="A244" s="617" t="s">
        <v>493</v>
      </c>
      <c r="C244" s="314">
        <f>C22+C151</f>
        <v>17585420</v>
      </c>
      <c r="D244" s="314">
        <f>D22+D151</f>
        <v>3172359</v>
      </c>
      <c r="E244" s="314">
        <f>E22+E151</f>
        <v>-137523</v>
      </c>
      <c r="F244" s="314">
        <f>F22+F151</f>
        <v>20620256</v>
      </c>
    </row>
    <row r="245" spans="1:6" x14ac:dyDescent="0.2">
      <c r="A245" s="617" t="s">
        <v>492</v>
      </c>
      <c r="C245" s="314">
        <f>C127</f>
        <v>801800</v>
      </c>
      <c r="D245" s="314">
        <f>D127</f>
        <v>266198</v>
      </c>
      <c r="E245" s="314">
        <f>E127</f>
        <v>-300</v>
      </c>
      <c r="F245" s="314">
        <f>F127</f>
        <v>1067698</v>
      </c>
    </row>
    <row r="246" spans="1:6" x14ac:dyDescent="0.2">
      <c r="A246" s="617" t="s">
        <v>494</v>
      </c>
      <c r="C246" s="314">
        <f>C180</f>
        <v>132540</v>
      </c>
      <c r="D246" s="314">
        <f>D180</f>
        <v>0</v>
      </c>
      <c r="E246" s="314">
        <f>E180</f>
        <v>0</v>
      </c>
      <c r="F246" s="314">
        <f>F180</f>
        <v>132540</v>
      </c>
    </row>
    <row r="247" spans="1:6" x14ac:dyDescent="0.2">
      <c r="A247" s="617" t="s">
        <v>1051</v>
      </c>
      <c r="C247" s="314">
        <f>C146</f>
        <v>0</v>
      </c>
      <c r="D247" s="314">
        <f>+D146</f>
        <v>0</v>
      </c>
      <c r="E247" s="314">
        <f>+E146</f>
        <v>42700</v>
      </c>
      <c r="F247" s="314">
        <f>+F146</f>
        <v>42700</v>
      </c>
    </row>
    <row r="248" spans="1:6" x14ac:dyDescent="0.2">
      <c r="A248" s="617" t="s">
        <v>495</v>
      </c>
      <c r="C248" s="314">
        <f t="shared" ref="C248:F248" si="29">C182</f>
        <v>161600</v>
      </c>
      <c r="D248" s="314">
        <f t="shared" si="29"/>
        <v>624000</v>
      </c>
      <c r="E248" s="314">
        <f t="shared" si="29"/>
        <v>467687</v>
      </c>
      <c r="F248" s="314">
        <f t="shared" si="29"/>
        <v>1253287</v>
      </c>
    </row>
    <row r="249" spans="1:6" x14ac:dyDescent="0.2">
      <c r="A249" s="617" t="s">
        <v>496</v>
      </c>
      <c r="C249" s="314"/>
      <c r="D249" s="314"/>
      <c r="E249" s="314"/>
      <c r="F249" s="314"/>
    </row>
    <row r="250" spans="1:6" x14ac:dyDescent="0.2">
      <c r="A250" s="618" t="s">
        <v>901</v>
      </c>
      <c r="C250" s="614">
        <f>SUM(C238:C248)</f>
        <v>40240208</v>
      </c>
      <c r="D250" s="614">
        <f t="shared" ref="D250:F250" si="30">SUM(D238:D248)</f>
        <v>5237169</v>
      </c>
      <c r="E250" s="614">
        <f t="shared" si="30"/>
        <v>529250</v>
      </c>
      <c r="F250" s="614">
        <f t="shared" si="30"/>
        <v>46006627</v>
      </c>
    </row>
  </sheetData>
  <mergeCells count="7">
    <mergeCell ref="A221:C221"/>
    <mergeCell ref="A230:C230"/>
    <mergeCell ref="A5:C5"/>
    <mergeCell ref="A41:C41"/>
    <mergeCell ref="A191:C191"/>
    <mergeCell ref="A208:C208"/>
    <mergeCell ref="A216:C216"/>
  </mergeCells>
  <pageMargins left="0.23622047244094491" right="0.15748031496062992" top="0.39370078740157483" bottom="0.27559055118110237" header="0.19685039370078741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</vt:i4>
      </vt:variant>
    </vt:vector>
  </HeadingPairs>
  <TitlesOfParts>
    <vt:vector size="18" baseType="lpstr">
      <vt:lpstr>ÕIGUSAKTID</vt:lpstr>
      <vt:lpstr>1 KOONDEELARVE</vt:lpstr>
      <vt:lpstr>2 TULUDE KOOND</vt:lpstr>
      <vt:lpstr>2.1 LK TULUD</vt:lpstr>
      <vt:lpstr>Sheet2</vt:lpstr>
      <vt:lpstr>2.2 OMATULUD</vt:lpstr>
      <vt:lpstr>2.3 TOETUSED</vt:lpstr>
      <vt:lpstr>3 KULUD</vt:lpstr>
      <vt:lpstr>4 INVEST</vt:lpstr>
      <vt:lpstr>5 FIN.TEH</vt:lpstr>
      <vt:lpstr>6 RAHAKÄIVE</vt:lpstr>
      <vt:lpstr>7 LIIGENDUS</vt:lpstr>
      <vt:lpstr>'1 KOONDEELARVE'!Print_Titles</vt:lpstr>
      <vt:lpstr>'2 TULUDE KOOND'!Print_Titles</vt:lpstr>
      <vt:lpstr>'2.1 LK TULUD'!Print_Titles</vt:lpstr>
      <vt:lpstr>'2.2 OMATULUD'!Print_Titles</vt:lpstr>
      <vt:lpstr>'2.3 TOETUSED'!Print_Titles</vt:lpstr>
      <vt:lpstr>'3 KULUD'!Print_Titles</vt:lpstr>
    </vt:vector>
  </TitlesOfParts>
  <Company>Tallinna Linnakantselei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valler</dc:creator>
  <cp:lastModifiedBy>valler</cp:lastModifiedBy>
  <cp:lastPrinted>2015-11-16T08:36:37Z</cp:lastPrinted>
  <dcterms:created xsi:type="dcterms:W3CDTF">2011-11-17T06:19:29Z</dcterms:created>
  <dcterms:modified xsi:type="dcterms:W3CDTF">2015-11-23T08:21:13Z</dcterms:modified>
</cp:coreProperties>
</file>